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wg_przeplywow" sheetId="1" r:id="rId1"/>
    <sheet name="definicja" sheetId="2" state="hidden" r:id="rId2"/>
    <sheet name="AnalizaWsk243" sheetId="3" state="hidden" r:id="rId3"/>
    <sheet name="Zal_1_WPF_uklad_budzetu" sheetId="4" state="hidden" r:id="rId4"/>
    <sheet name="DaneZrodlowe" sheetId="5" state="hidden" r:id="rId5"/>
  </sheets>
  <definedNames>
    <definedName name="_xlnm.Print_Area" localSheetId="2">'AnalizaWsk243'!$B$7:$AQ$27</definedName>
    <definedName name="_xlnm.Print_Area" localSheetId="3">'Zal_1_WPF_uklad_budzetu'!$A$6:$AO$60</definedName>
    <definedName name="_xlnm.Print_Area" localSheetId="0">'Zal_1_WPF_wg_przeplywow'!$A$6:$M$69</definedName>
    <definedName name="_xlnm.Print_Titles" localSheetId="2">'AnalizaWsk243'!$A:$A,'AnalizaWsk243'!$2:$6</definedName>
    <definedName name="_xlnm.Print_Titles" localSheetId="3">'Zal_1_WPF_uklad_budzetu'!$A:$B,'Zal_1_WPF_uklad_budzetu'!$4:$5</definedName>
    <definedName name="_xlnm.Print_Titles" localSheetId="0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<sst xmlns="http://schemas.openxmlformats.org/spreadsheetml/2006/main" count="2051" uniqueCount="261">
  <si>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</si>
  <si>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</si>
  <si>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</si>
  <si>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</si>
  <si>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</si>
  <si>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</si>
  <si>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</si>
  <si>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</si>
  <si>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</si>
  <si>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</si>
  <si>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</si>
  <si>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</si>
  <si>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</si>
  <si>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</si>
  <si>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</si>
  <si>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</si>
  <si>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</si>
  <si>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</si>
  <si>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</si>
  <si>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</si>
  <si>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</si>
  <si>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</si>
  <si>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</si>
  <si>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</si>
  <si>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</si>
  <si>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</si>
  <si>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</si>
  <si>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</si>
  <si>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</si>
  <si>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</si>
  <si>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</si>
  <si>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</si>
  <si>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</si>
  <si>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</si>
  <si>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</si>
  <si>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</si>
  <si>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</si>
  <si>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</si>
  <si>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</si>
  <si>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</si>
  <si>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</si>
  <si>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</si>
  <si>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</si>
  <si>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</si>
  <si>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</si>
  <si>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</si>
  <si>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</si>
  <si>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</si>
  <si>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</si>
  <si>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</si>
  <si>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</si>
  <si>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</si>
  <si>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</si>
  <si>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</si>
  <si>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</si>
  <si>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</si>
  <si>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</si>
  <si>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</si>
  <si>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</si>
  <si>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</si>
  <si>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</si>
  <si>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</si>
  <si>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</si>
  <si>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</si>
  <si>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</si>
  <si>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</si>
  <si>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</si>
  <si>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</si>
  <si>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</si>
  <si>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</si>
  <si>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</si>
  <si>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</si>
  <si>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</si>
  <si>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</si>
  <si>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</si>
  <si>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</si>
  <si>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</si>
  <si>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</si>
  <si>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</si>
  <si>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</si>
  <si>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</si>
  <si>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</si>
  <si>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</si>
  <si>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</si>
  <si>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</si>
  <si>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</si>
  <si>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</si>
  <si>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</si>
  <si>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</si>
  <si>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</si>
  <si>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</si>
  <si>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</si>
  <si>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</si>
  <si>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</si>
  <si>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</si>
  <si>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</si>
  <si>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</si>
  <si>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</si>
  <si>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</si>
  <si>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</si>
  <si>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</si>
  <si>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</si>
  <si>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</si>
  <si>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</si>
  <si>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</si>
  <si>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</si>
  <si>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</si>
  <si>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</si>
  <si>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</si>
  <si>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</si>
  <si>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</si>
  <si>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</si>
  <si>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</si>
  <si>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</si>
  <si>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</si>
  <si>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</si>
  <si>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</si>
  <si>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</si>
  <si>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</si>
  <si>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</si>
  <si>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</si>
  <si>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</si>
  <si>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</si>
  <si>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</si>
  <si>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</si>
  <si>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</si>
  <si>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</si>
  <si>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</si>
  <si>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</si>
  <si>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</si>
  <si>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</si>
  <si>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</si>
  <si>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</si>
  <si>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</si>
  <si>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</si>
  <si>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</si>
  <si>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</si>
  <si>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</si>
  <si>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</si>
  <si>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</si>
  <si>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</si>
  <si>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</si>
  <si>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</si>
  <si>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</si>
  <si>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</si>
  <si>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</si>
  <si>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</si>
  <si>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</si>
  <si>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</si>
  <si>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</si>
  <si>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</si>
  <si>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</si>
  <si>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</si>
  <si>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</si>
  <si>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</si>
  <si>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</si>
  <si>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</si>
  <si>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</si>
  <si>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</si>
  <si>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</si>
  <si>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</si>
  <si>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</si>
  <si>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</si>
  <si>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</si>
  <si>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</si>
  <si>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</si>
  <si>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</si>
  <si>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</si>
  <si>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</si>
  <si>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</si>
  <si>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</si>
  <si>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</si>
  <si>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</si>
  <si>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</si>
  <si>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</si>
  <si>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</si>
  <si>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</si>
  <si>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</si>
  <si>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</si>
  <si>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</si>
  <si>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</si>
  <si>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</si>
  <si>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</si>
  <si>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</si>
  <si>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</si>
  <si>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</si>
  <si>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</si>
  <si>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</si>
  <si>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</si>
  <si>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</si>
  <si>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</si>
  <si>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</si>
  <si>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</si>
  <si>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</si>
  <si>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</si>
  <si>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</si>
  <si>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</si>
  <si>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</si>
  <si>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</si>
  <si>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</si>
  <si>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</si>
  <si>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</si>
  <si>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</si>
  <si>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</si>
  <si>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</si>
  <si>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</si>
  <si>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</si>
  <si>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</si>
  <si>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</si>
  <si>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</si>
  <si>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</si>
  <si>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</si>
  <si>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</si>
  <si>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</si>
  <si>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</si>
  <si>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</si>
  <si>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</si>
  <si>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</si>
  <si>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</si>
  <si>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</si>
  <si>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</si>
  <si>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</si>
  <si>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</si>
  <si>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</si>
  <si>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</si>
  <si>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</si>
  <si>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</si>
  <si>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</si>
  <si>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</si>
  <si>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</si>
  <si>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</si>
  <si>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</si>
  <si>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</si>
  <si>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</si>
  <si>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</si>
  <si>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</si>
  <si>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XXII/112/2012</t>
  </si>
  <si>
    <t>JEDLNIA-LETNISKO</t>
  </si>
  <si>
    <t>([7a]+[7b1]+[2c]+[15]-[2d]-[7a1])/[1]</t>
  </si>
  <si>
    <t>[6]-[7]-[8]</t>
  </si>
  <si>
    <t>[23]-[24]</t>
  </si>
  <si>
    <t xml:space="preserve"> ([1a]-[24]+[1c])/[1]</t>
  </si>
  <si>
    <t>[1]</t>
  </si>
  <si>
    <t>[26]-[27]</t>
  </si>
  <si>
    <t>[3]+[4]+[5]</t>
  </si>
  <si>
    <t>[20]</t>
  </si>
  <si>
    <t>[4]+[5]+[11]</t>
  </si>
  <si>
    <t>[1]-[2]</t>
  </si>
  <si>
    <t>[20a]-[22]</t>
  </si>
  <si>
    <t>([7a]+[7b1]+[2c])/[1]</t>
  </si>
  <si>
    <t>[10]+[24]</t>
  </si>
  <si>
    <t>[7a]+[8]</t>
  </si>
  <si>
    <t>([7a]+[7b1]+[2c]-[2d]-[7a1])/[1]</t>
  </si>
  <si>
    <t>[1a]+[1b]</t>
  </si>
  <si>
    <t>[1a]</t>
  </si>
  <si>
    <t>[7a]+[7b]</t>
  </si>
  <si>
    <t>([13]-[14])/[1]</t>
  </si>
  <si>
    <t>[20a]-[21]</t>
  </si>
  <si>
    <t>([13])/[1]</t>
  </si>
  <si>
    <t>([7a]+[7b1]+[2c]+[15])/[1]</t>
  </si>
  <si>
    <t>[2]+[7b]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</si>
</sst>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13" borderId="0" applyNumberFormat="0" applyBorder="0" applyAlignment="0" applyProtection="0"/>
    <xf numFmtId="0" fontId="42" fillId="14" borderId="0" applyNumberFormat="0" applyBorder="0" applyAlignment="0" applyProtection="0"/>
    <xf numFmtId="0" fontId="17" fillId="14" borderId="0" applyNumberFormat="0" applyBorder="0" applyAlignment="0" applyProtection="0"/>
    <xf numFmtId="0" fontId="42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7" borderId="0" applyNumberFormat="0" applyBorder="0" applyAlignment="0" applyProtection="0"/>
    <xf numFmtId="0" fontId="42" fillId="28" borderId="0" applyNumberFormat="0" applyBorder="0" applyAlignment="0" applyProtection="0"/>
    <xf numFmtId="0" fontId="17" fillId="29" borderId="0" applyNumberFormat="0" applyBorder="0" applyAlignment="0" applyProtection="0"/>
    <xf numFmtId="0" fontId="42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0" applyNumberFormat="0" applyBorder="0" applyAlignment="0" applyProtection="0"/>
    <xf numFmtId="0" fontId="17" fillId="22" borderId="0" applyNumberFormat="0" applyBorder="0" applyAlignment="0" applyProtection="0"/>
    <xf numFmtId="0" fontId="42" fillId="33" borderId="0" applyNumberFormat="0" applyBorder="0" applyAlignment="0" applyProtection="0"/>
    <xf numFmtId="0" fontId="17" fillId="24" borderId="0" applyNumberFormat="0" applyBorder="0" applyAlignment="0" applyProtection="0"/>
    <xf numFmtId="0" fontId="42" fillId="34" borderId="0" applyNumberFormat="0" applyBorder="0" applyAlignment="0" applyProtection="0"/>
    <xf numFmtId="0" fontId="17" fillId="35" borderId="0" applyNumberFormat="0" applyBorder="0" applyAlignment="0" applyProtection="0"/>
    <xf numFmtId="0" fontId="43" fillId="36" borderId="1" applyNumberFormat="0" applyAlignment="0" applyProtection="0"/>
    <xf numFmtId="0" fontId="18" fillId="9" borderId="2" applyNumberFormat="0" applyAlignment="0" applyProtection="0"/>
    <xf numFmtId="0" fontId="44" fillId="37" borderId="3" applyNumberFormat="0" applyAlignment="0" applyProtection="0"/>
    <xf numFmtId="0" fontId="19" fillId="38" borderId="4" applyNumberFormat="0" applyAlignment="0" applyProtection="0"/>
    <xf numFmtId="0" fontId="45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40" borderId="7" applyNumberFormat="0" applyAlignment="0" applyProtection="0"/>
    <xf numFmtId="0" fontId="22" fillId="41" borderId="8" applyNumberFormat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31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8" borderId="0" xfId="0" applyFont="1" applyFill="1" applyBorder="1" applyAlignment="1">
      <alignment horizontal="center"/>
    </xf>
    <xf numFmtId="49" fontId="3" fillId="38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7" borderId="21" xfId="90" applyFont="1" applyFill="1" applyBorder="1" applyAlignment="1">
      <alignment horizontal="center" vertical="center"/>
      <protection/>
    </xf>
    <xf numFmtId="0" fontId="3" fillId="7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38" borderId="24" xfId="90" applyFont="1" applyFill="1" applyBorder="1" applyAlignment="1">
      <alignment horizontal="center" vertical="center"/>
      <protection/>
    </xf>
    <xf numFmtId="49" fontId="3" fillId="38" borderId="25" xfId="90" applyNumberFormat="1" applyFont="1" applyFill="1" applyBorder="1" applyAlignment="1">
      <alignment horizontal="center"/>
      <protection/>
    </xf>
    <xf numFmtId="49" fontId="3" fillId="38" borderId="26" xfId="90" applyNumberFormat="1" applyFont="1" applyFill="1" applyBorder="1" applyAlignment="1">
      <alignment horizontal="center"/>
      <protection/>
    </xf>
    <xf numFmtId="0" fontId="2" fillId="47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8" borderId="27" xfId="90" applyNumberFormat="1" applyFont="1" applyFill="1" applyBorder="1" applyAlignment="1">
      <alignment horizontal="center"/>
      <protection/>
    </xf>
    <xf numFmtId="165" fontId="2" fillId="11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1" borderId="29" xfId="9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7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47" borderId="19" xfId="90" applyFont="1" applyFill="1" applyBorder="1" applyAlignment="1">
      <alignment vertical="center" wrapText="1"/>
      <protection/>
    </xf>
    <xf numFmtId="49" fontId="3" fillId="38" borderId="32" xfId="90" applyNumberFormat="1" applyFont="1" applyFill="1" applyBorder="1" applyAlignment="1">
      <alignment vertical="center" wrapText="1"/>
      <protection/>
    </xf>
    <xf numFmtId="0" fontId="3" fillId="38" borderId="33" xfId="90" applyFont="1" applyFill="1" applyBorder="1" applyAlignment="1">
      <alignment vertical="center" wrapText="1"/>
      <protection/>
    </xf>
    <xf numFmtId="0" fontId="8" fillId="7" borderId="19" xfId="90" applyFont="1" applyFill="1" applyBorder="1" applyAlignment="1">
      <alignment vertical="center" wrapText="1"/>
      <protection/>
    </xf>
    <xf numFmtId="0" fontId="8" fillId="7" borderId="34" xfId="90" applyFont="1" applyFill="1" applyBorder="1" applyAlignment="1">
      <alignment vertical="center" wrapText="1"/>
      <protection/>
    </xf>
    <xf numFmtId="0" fontId="3" fillId="47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166" fontId="2" fillId="0" borderId="30" xfId="91" applyNumberFormat="1" applyFont="1" applyFill="1" applyBorder="1" applyAlignment="1">
      <alignment vertical="center"/>
      <protection/>
    </xf>
    <xf numFmtId="166" fontId="3" fillId="0" borderId="30" xfId="91" applyNumberFormat="1" applyFont="1" applyFill="1" applyBorder="1" applyAlignment="1">
      <alignment vertical="center"/>
      <protection/>
    </xf>
    <xf numFmtId="49" fontId="3" fillId="38" borderId="30" xfId="91" applyNumberFormat="1" applyFont="1" applyFill="1" applyBorder="1" applyAlignment="1">
      <alignment horizontal="center" vertical="center"/>
      <protection/>
    </xf>
    <xf numFmtId="49" fontId="3" fillId="38" borderId="30" xfId="91" applyNumberFormat="1" applyFont="1" applyFill="1" applyBorder="1" applyAlignment="1">
      <alignment vertical="center"/>
      <protection/>
    </xf>
    <xf numFmtId="1" fontId="3" fillId="38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166" fontId="3" fillId="0" borderId="35" xfId="91" applyNumberFormat="1" applyFont="1" applyFill="1" applyBorder="1" applyAlignment="1">
      <alignment vertical="center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166" fontId="2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166" fontId="3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3"/>
      <protection/>
    </xf>
    <xf numFmtId="0" fontId="2" fillId="0" borderId="36" xfId="91" applyFont="1" applyFill="1" applyBorder="1" applyAlignment="1">
      <alignment horizontal="left" vertical="center" wrapText="1" indent="4"/>
      <protection/>
    </xf>
    <xf numFmtId="0" fontId="2" fillId="0" borderId="36" xfId="91" applyFont="1" applyFill="1" applyBorder="1" applyAlignment="1" quotePrefix="1">
      <alignment horizontal="left" vertical="center" wrapText="1" indent="2"/>
      <protection/>
    </xf>
    <xf numFmtId="0" fontId="2" fillId="0" borderId="36" xfId="91" applyFont="1" applyFill="1" applyBorder="1" applyAlignment="1">
      <alignment vertical="center" wrapText="1"/>
      <protection/>
    </xf>
    <xf numFmtId="10" fontId="3" fillId="0" borderId="36" xfId="91" applyNumberFormat="1" applyFont="1" applyFill="1" applyBorder="1" applyAlignment="1">
      <alignment vertical="center"/>
      <protection/>
    </xf>
    <xf numFmtId="0" fontId="3" fillId="0" borderId="36" xfId="90" applyFont="1" applyFill="1" applyBorder="1" applyAlignment="1">
      <alignment vertical="center" wrapText="1"/>
      <protection/>
    </xf>
    <xf numFmtId="0" fontId="3" fillId="0" borderId="36" xfId="91" applyFont="1" applyFill="1" applyBorder="1" applyAlignment="1">
      <alignment horizontal="center"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166" fontId="2" fillId="0" borderId="37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166" fontId="3" fillId="0" borderId="37" xfId="91" applyNumberFormat="1" applyFont="1" applyFill="1" applyBorder="1" applyAlignment="1">
      <alignment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10" fontId="3" fillId="0" borderId="35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vertical="center" wrapText="1"/>
      <protection/>
    </xf>
    <xf numFmtId="10" fontId="3" fillId="0" borderId="37" xfId="91" applyNumberFormat="1" applyFont="1" applyFill="1" applyBorder="1" applyAlignment="1">
      <alignment vertical="center"/>
      <protection/>
    </xf>
    <xf numFmtId="165" fontId="2" fillId="0" borderId="35" xfId="91" applyNumberFormat="1" applyFont="1" applyFill="1" applyBorder="1" applyAlignment="1">
      <alignment vertical="center"/>
      <protection/>
    </xf>
    <xf numFmtId="166" fontId="2" fillId="0" borderId="35" xfId="91" applyNumberFormat="1" applyFont="1" applyFill="1" applyBorder="1" applyAlignment="1">
      <alignment vertical="center"/>
      <protection/>
    </xf>
    <xf numFmtId="1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 wrapText="1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18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47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47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47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7" fillId="0" borderId="30" xfId="96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30" xfId="0" applyNumberFormat="1" applyFont="1" applyFill="1" applyBorder="1" applyAlignment="1" applyProtection="1">
      <alignment vertical="center"/>
      <protection locked="0"/>
    </xf>
    <xf numFmtId="10" fontId="33" fillId="49" borderId="30" xfId="101" applyNumberFormat="1" applyFont="1" applyFill="1" applyBorder="1" applyAlignment="1" applyProtection="1">
      <alignment vertical="center"/>
      <protection/>
    </xf>
    <xf numFmtId="0" fontId="34" fillId="49" borderId="40" xfId="0" applyFont="1" applyFill="1" applyBorder="1" applyAlignment="1" applyProtection="1">
      <alignment/>
      <protection locked="0"/>
    </xf>
    <xf numFmtId="10" fontId="34" fillId="49" borderId="41" xfId="101" applyNumberFormat="1" applyFont="1" applyFill="1" applyBorder="1" applyAlignment="1" applyProtection="1">
      <alignment vertical="center"/>
      <protection/>
    </xf>
    <xf numFmtId="4" fontId="34" fillId="49" borderId="30" xfId="101" applyNumberFormat="1" applyFont="1" applyFill="1" applyBorder="1" applyAlignment="1" applyProtection="1">
      <alignment vertical="center"/>
      <protection/>
    </xf>
    <xf numFmtId="10" fontId="34" fillId="49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49" borderId="30" xfId="0" applyFont="1" applyFill="1" applyBorder="1" applyAlignment="1" applyProtection="1">
      <alignment vertical="center" wrapText="1"/>
      <protection/>
    </xf>
    <xf numFmtId="4" fontId="35" fillId="49" borderId="30" xfId="0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 vertical="center" wrapText="1"/>
      <protection locked="0"/>
    </xf>
    <xf numFmtId="0" fontId="34" fillId="4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23" xfId="0" applyFont="1" applyFill="1" applyBorder="1" applyAlignment="1" applyProtection="1">
      <alignment vertical="center" wrapText="1"/>
      <protection locked="0"/>
    </xf>
    <xf numFmtId="4" fontId="35" fillId="48" borderId="42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43" xfId="0" applyFont="1" applyFill="1" applyBorder="1" applyAlignment="1" applyProtection="1">
      <alignment vertical="center" wrapText="1"/>
      <protection/>
    </xf>
    <xf numFmtId="4" fontId="35" fillId="49" borderId="44" xfId="0" applyNumberFormat="1" applyFont="1" applyFill="1" applyBorder="1" applyAlignment="1" applyProtection="1">
      <alignment vertical="center"/>
      <protection/>
    </xf>
    <xf numFmtId="0" fontId="34" fillId="4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49" borderId="42" xfId="0" applyFont="1" applyFill="1" applyBorder="1" applyAlignment="1" applyProtection="1">
      <alignment vertical="center" wrapText="1"/>
      <protection/>
    </xf>
    <xf numFmtId="0" fontId="34" fillId="47" borderId="30" xfId="0" applyFont="1" applyFill="1" applyBorder="1" applyAlignment="1" applyProtection="1">
      <alignment vertical="center" wrapText="1"/>
      <protection locked="0"/>
    </xf>
    <xf numFmtId="0" fontId="34" fillId="18" borderId="30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7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35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49" borderId="34" xfId="0" applyFont="1" applyFill="1" applyBorder="1" applyAlignment="1" applyProtection="1">
      <alignment/>
      <protection locked="0"/>
    </xf>
    <xf numFmtId="0" fontId="34" fillId="38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0" fontId="34" fillId="49" borderId="19" xfId="101" applyNumberFormat="1" applyFont="1" applyFill="1" applyBorder="1" applyAlignment="1" applyProtection="1">
      <alignment horizontal="center" vertical="center"/>
      <protection/>
    </xf>
    <xf numFmtId="10" fontId="34" fillId="49" borderId="45" xfId="101" applyNumberFormat="1" applyFont="1" applyFill="1" applyBorder="1" applyAlignment="1" applyProtection="1">
      <alignment horizontal="center" vertical="center"/>
      <protection/>
    </xf>
    <xf numFmtId="10" fontId="34" fillId="49" borderId="46" xfId="101" applyNumberFormat="1" applyFont="1" applyFill="1" applyBorder="1" applyAlignment="1" applyProtection="1">
      <alignment horizontal="center" vertical="center"/>
      <protection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3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 vertic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4" fillId="49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5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O72"/>
  <sheetViews>
    <sheetView tabSelected="1" zoomScalePageLayoutView="0" workbookViewId="0" topLeftCell="A1">
      <pane xSplit="2" ySplit="6" topLeftCell="G41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74" sqref="B74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 hidden="1">
      <c r="C1" s="26" t="s">
        <v>42</v>
      </c>
      <c r="D1" s="16" t="str">
        <f>+DaneZrodlowe!B4</f>
        <v>XXII/112/2012</v>
      </c>
      <c r="G1" s="27"/>
      <c r="H1" s="27"/>
      <c r="I1" s="27"/>
    </row>
    <row r="2" spans="1:9" ht="12" hidden="1">
      <c r="A2" s="23"/>
      <c r="C2" s="19" t="s">
        <v>40</v>
      </c>
      <c r="D2" s="20" t="str">
        <f>+"("&amp;DaneZrodlowe!D4&amp;") - "&amp;DaneZrodlowe!C4</f>
        <v>(1425062) - JEDLNIA-LETNISKO</v>
      </c>
      <c r="F2" s="16"/>
      <c r="G2" s="16"/>
      <c r="H2" s="16"/>
      <c r="I2" s="16"/>
    </row>
    <row r="3" spans="1:4" ht="12" hidden="1">
      <c r="A3" s="17"/>
      <c r="C3" s="18" t="s">
        <v>41</v>
      </c>
      <c r="D3" s="21" t="str">
        <f>+"2012-"&amp;MAX(DaneZrodlowe!L:L)</f>
        <v>2012-2022</v>
      </c>
    </row>
    <row r="4" ht="13.5" customHeight="1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31778888.29</f>
        <v>31778888.29</v>
      </c>
      <c r="D7" s="133">
        <f>31283833</f>
        <v>31283833</v>
      </c>
      <c r="E7" s="133">
        <f>31794363</f>
        <v>31794363</v>
      </c>
      <c r="F7" s="133">
        <f>32515274</f>
        <v>32515274</v>
      </c>
      <c r="G7" s="133">
        <f>33598788</f>
        <v>33598788</v>
      </c>
      <c r="H7" s="133">
        <f>32991479</f>
        <v>32991479</v>
      </c>
      <c r="I7" s="133">
        <f>33878223</f>
        <v>33878223</v>
      </c>
      <c r="J7" s="133">
        <f>34994570</f>
        <v>34994570</v>
      </c>
      <c r="K7" s="133">
        <f>35241407</f>
        <v>35241407</v>
      </c>
      <c r="L7" s="133">
        <f>37019649</f>
        <v>37019649</v>
      </c>
      <c r="M7" s="133">
        <f>38130238</f>
        <v>38130238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28407264.29</f>
        <v>28407264.29</v>
      </c>
      <c r="D8" s="112">
        <f>29768833</f>
        <v>29768833</v>
      </c>
      <c r="E8" s="112">
        <f>30279363</f>
        <v>30279363</v>
      </c>
      <c r="F8" s="112">
        <f>31000274</f>
        <v>31000274</v>
      </c>
      <c r="G8" s="112">
        <f>31983475</f>
        <v>31983475</v>
      </c>
      <c r="H8" s="112">
        <f>32991479</f>
        <v>32991479</v>
      </c>
      <c r="I8" s="112">
        <f>33878223</f>
        <v>33878223</v>
      </c>
      <c r="J8" s="112">
        <f>34994570</f>
        <v>34994570</v>
      </c>
      <c r="K8" s="112">
        <f>35241407</f>
        <v>35241407</v>
      </c>
      <c r="L8" s="112">
        <f>37019649</f>
        <v>37019649</v>
      </c>
      <c r="M8" s="112">
        <f>38130238</f>
        <v>38130238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131940.9</f>
        <v>131940.9</v>
      </c>
      <c r="D9" s="112">
        <f>170050</f>
        <v>170050</v>
      </c>
      <c r="E9" s="112">
        <f>179000</f>
        <v>179000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3371624</f>
        <v>3371624</v>
      </c>
      <c r="D10" s="112">
        <f>1515000</f>
        <v>1515000</v>
      </c>
      <c r="E10" s="112">
        <f>1515000</f>
        <v>1515000</v>
      </c>
      <c r="F10" s="112">
        <f>1515000</f>
        <v>1515000</v>
      </c>
      <c r="G10" s="112">
        <f>1615313</f>
        <v>1615313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0</f>
        <v>0</v>
      </c>
      <c r="D11" s="112">
        <f>0</f>
        <v>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1772800</f>
        <v>1772800</v>
      </c>
      <c r="D12" s="136">
        <f>1515000</f>
        <v>1515000</v>
      </c>
      <c r="E12" s="136">
        <f>1515000</f>
        <v>1515000</v>
      </c>
      <c r="F12" s="136">
        <f>1515000</f>
        <v>1515000</v>
      </c>
      <c r="G12" s="136">
        <f>1615313</f>
        <v>1615313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26000608.29</f>
        <v>26000608.29</v>
      </c>
      <c r="D13" s="133">
        <f>26865233</f>
        <v>26865233</v>
      </c>
      <c r="E13" s="133">
        <f>27741737</f>
        <v>27741737</v>
      </c>
      <c r="F13" s="133">
        <f>28496008</f>
        <v>28496008</v>
      </c>
      <c r="G13" s="133">
        <f>29288344</f>
        <v>29288344</v>
      </c>
      <c r="H13" s="133">
        <f>30016241</f>
        <v>30016241</v>
      </c>
      <c r="I13" s="133">
        <f>30971747</f>
        <v>30971747</v>
      </c>
      <c r="J13" s="133">
        <f>31582291</f>
        <v>31582291</v>
      </c>
      <c r="K13" s="133">
        <f>32914948</f>
        <v>32914948</v>
      </c>
      <c r="L13" s="133">
        <f>33426802</f>
        <v>33426802</v>
      </c>
      <c r="M13" s="133">
        <f>34208608</f>
        <v>34208608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14686122</f>
        <v>14686122</v>
      </c>
      <c r="D14" s="112">
        <f>15133162</f>
        <v>15133162</v>
      </c>
      <c r="E14" s="112">
        <f>15541758</f>
        <v>15541758</v>
      </c>
      <c r="F14" s="112">
        <f>15961385</f>
        <v>15961385</v>
      </c>
      <c r="G14" s="112">
        <f>16392342</f>
        <v>16392342</v>
      </c>
      <c r="H14" s="112">
        <f>16834936</f>
        <v>16834936</v>
      </c>
      <c r="I14" s="112">
        <f>17272644</f>
        <v>17272644</v>
      </c>
      <c r="J14" s="112">
        <f>17721733</f>
        <v>17721733</v>
      </c>
      <c r="K14" s="112">
        <f>18041291</f>
        <v>18041291</v>
      </c>
      <c r="L14" s="112">
        <f>18456241</f>
        <v>18456241</v>
      </c>
      <c r="M14" s="112">
        <f>18880734</f>
        <v>18880734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2954061</f>
        <v>2954061</v>
      </c>
      <c r="D15" s="112">
        <f>3023685</f>
        <v>3023685</v>
      </c>
      <c r="E15" s="112">
        <f>3102301</f>
        <v>3102301</v>
      </c>
      <c r="F15" s="112">
        <f>3182961</f>
        <v>3182961</v>
      </c>
      <c r="G15" s="112">
        <f>3265718</f>
        <v>3265718</v>
      </c>
      <c r="H15" s="112">
        <f>3350627</f>
        <v>3350627</v>
      </c>
      <c r="I15" s="112">
        <f>3434392</f>
        <v>3434392</v>
      </c>
      <c r="J15" s="112">
        <f>3520252</f>
        <v>3520252</v>
      </c>
      <c r="K15" s="112">
        <f>3608258</f>
        <v>3608258</v>
      </c>
      <c r="L15" s="112">
        <f>3691248</f>
        <v>3691248</v>
      </c>
      <c r="M15" s="112">
        <f>3776147</f>
        <v>3776147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1244420</f>
        <v>1244420</v>
      </c>
      <c r="D18" s="112">
        <f>460000</f>
        <v>460000</v>
      </c>
      <c r="E18" s="112">
        <f>200000</f>
        <v>200000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147420</f>
        <v>147420</v>
      </c>
      <c r="D19" s="136">
        <f>190000</f>
        <v>190000</v>
      </c>
      <c r="E19" s="136">
        <f>200000</f>
        <v>200000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5778280</f>
        <v>5778280</v>
      </c>
      <c r="D20" s="106">
        <f>4418600</f>
        <v>4418600</v>
      </c>
      <c r="E20" s="106">
        <f>4052626</f>
        <v>4052626</v>
      </c>
      <c r="F20" s="106">
        <f>4019266</f>
        <v>4019266</v>
      </c>
      <c r="G20" s="106">
        <f>4310444</f>
        <v>4310444</v>
      </c>
      <c r="H20" s="106">
        <f>2975238</f>
        <v>2975238</v>
      </c>
      <c r="I20" s="106">
        <f>2906476</f>
        <v>2906476</v>
      </c>
      <c r="J20" s="106">
        <f>3412279</f>
        <v>3412279</v>
      </c>
      <c r="K20" s="106">
        <f>2326459</f>
        <v>2326459</v>
      </c>
      <c r="L20" s="106">
        <f>3592847</f>
        <v>3592847</v>
      </c>
      <c r="M20" s="106">
        <f>3921630</f>
        <v>3921630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0</f>
        <v>0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5778280</f>
        <v>5778280</v>
      </c>
      <c r="D25" s="106">
        <f>4418600</f>
        <v>4418600</v>
      </c>
      <c r="E25" s="106">
        <f>4052626</f>
        <v>4052626</v>
      </c>
      <c r="F25" s="106">
        <f>4019266</f>
        <v>4019266</v>
      </c>
      <c r="G25" s="106">
        <f>4310444</f>
        <v>4310444</v>
      </c>
      <c r="H25" s="106">
        <f>2975238</f>
        <v>2975238</v>
      </c>
      <c r="I25" s="106">
        <f>2906476</f>
        <v>2906476</v>
      </c>
      <c r="J25" s="106">
        <f>3412279</f>
        <v>3412279</v>
      </c>
      <c r="K25" s="106">
        <f>2326459</f>
        <v>2326459</v>
      </c>
      <c r="L25" s="106">
        <f>3592847</f>
        <v>3592847</v>
      </c>
      <c r="M25" s="106">
        <f>3921630</f>
        <v>3921630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3796952</f>
        <v>3796952</v>
      </c>
      <c r="D26" s="133">
        <f>4390600</f>
        <v>4390600</v>
      </c>
      <c r="E26" s="133">
        <f>1391000</f>
        <v>1391000</v>
      </c>
      <c r="F26" s="133">
        <f>1936900</f>
        <v>1936900</v>
      </c>
      <c r="G26" s="133">
        <f>2000000</f>
        <v>2000000</v>
      </c>
      <c r="H26" s="133">
        <f>2044000</f>
        <v>2044000</v>
      </c>
      <c r="I26" s="133">
        <f>2200000</f>
        <v>2200000</v>
      </c>
      <c r="J26" s="133">
        <f>2570000</f>
        <v>2570000</v>
      </c>
      <c r="K26" s="133">
        <f>716400</f>
        <v>716400</v>
      </c>
      <c r="L26" s="133">
        <f>2696576</f>
        <v>2696576</v>
      </c>
      <c r="M26" s="133">
        <f>1813635</f>
        <v>1813635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3160952</f>
        <v>3160952</v>
      </c>
      <c r="D27" s="112">
        <f>3670600</f>
        <v>3670600</v>
      </c>
      <c r="E27" s="112">
        <f>781000</f>
        <v>781000</v>
      </c>
      <c r="F27" s="112">
        <f>1396900</f>
        <v>1396900</v>
      </c>
      <c r="G27" s="112">
        <f>1500000</f>
        <v>1500000</v>
      </c>
      <c r="H27" s="112">
        <f>1694000</f>
        <v>1694000</v>
      </c>
      <c r="I27" s="112">
        <f>1950000</f>
        <v>1950000</v>
      </c>
      <c r="J27" s="112">
        <f>2450000</f>
        <v>2450000</v>
      </c>
      <c r="K27" s="112">
        <f>500000</f>
        <v>500000</v>
      </c>
      <c r="L27" s="112">
        <f>2566576</f>
        <v>2566576</v>
      </c>
      <c r="M27" s="112">
        <f>1693635</f>
        <v>1693635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636000</f>
        <v>636000</v>
      </c>
      <c r="D29" s="112">
        <f>720000</f>
        <v>720000</v>
      </c>
      <c r="E29" s="112">
        <f>610000</f>
        <v>610000</v>
      </c>
      <c r="F29" s="112">
        <f>540000</f>
        <v>540000</v>
      </c>
      <c r="G29" s="112">
        <f>500000</f>
        <v>500000</v>
      </c>
      <c r="H29" s="112">
        <f>350000</f>
        <v>350000</v>
      </c>
      <c r="I29" s="112">
        <f>250000</f>
        <v>250000</v>
      </c>
      <c r="J29" s="112">
        <f>120000</f>
        <v>120000</v>
      </c>
      <c r="K29" s="112">
        <f>216400</f>
        <v>216400</v>
      </c>
      <c r="L29" s="112">
        <f>130000</f>
        <v>130000</v>
      </c>
      <c r="M29" s="112">
        <f>120000</f>
        <v>120000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600000</f>
        <v>600000</v>
      </c>
      <c r="D30" s="136">
        <f>710000</f>
        <v>710000</v>
      </c>
      <c r="E30" s="136">
        <f>600000</f>
        <v>600000</v>
      </c>
      <c r="F30" s="136">
        <f>530000</f>
        <v>530000</v>
      </c>
      <c r="G30" s="136">
        <f>490000</f>
        <v>490000</v>
      </c>
      <c r="H30" s="136">
        <f>350000</f>
        <v>350000</v>
      </c>
      <c r="I30" s="136">
        <f>250000</f>
        <v>250000</v>
      </c>
      <c r="J30" s="136">
        <f>120000</f>
        <v>120000</v>
      </c>
      <c r="K30" s="136">
        <f>216400</f>
        <v>216400</v>
      </c>
      <c r="L30" s="136">
        <f>130000</f>
        <v>130000</v>
      </c>
      <c r="M30" s="136">
        <f>120000</f>
        <v>120000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1981328</f>
        <v>1981328</v>
      </c>
      <c r="D32" s="106">
        <f>28000</f>
        <v>28000</v>
      </c>
      <c r="E32" s="106">
        <f>2661626</f>
        <v>2661626</v>
      </c>
      <c r="F32" s="106">
        <f>2082366</f>
        <v>2082366</v>
      </c>
      <c r="G32" s="106">
        <f>2310444</f>
        <v>2310444</v>
      </c>
      <c r="H32" s="106">
        <f>931238</f>
        <v>931238</v>
      </c>
      <c r="I32" s="106">
        <f>706476</f>
        <v>706476</v>
      </c>
      <c r="J32" s="106">
        <f>842279</f>
        <v>842279</v>
      </c>
      <c r="K32" s="106">
        <f>1610059</f>
        <v>1610059</v>
      </c>
      <c r="L32" s="106">
        <f>896271</f>
        <v>896271</v>
      </c>
      <c r="M32" s="106">
        <f>2107995</f>
        <v>2107995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5640728</f>
        <v>5640728</v>
      </c>
      <c r="D33" s="133">
        <f aca="true" t="shared" si="0" ref="D33:F34">3068000</f>
        <v>3068000</v>
      </c>
      <c r="E33" s="133">
        <f t="shared" si="0"/>
        <v>3068000</v>
      </c>
      <c r="F33" s="133">
        <f t="shared" si="0"/>
        <v>3068000</v>
      </c>
      <c r="G33" s="133">
        <f>3372147</f>
        <v>3372147</v>
      </c>
      <c r="H33" s="133">
        <f>931238</f>
        <v>931238</v>
      </c>
      <c r="I33" s="133">
        <f>706476</f>
        <v>706476</v>
      </c>
      <c r="J33" s="133">
        <f>842279</f>
        <v>842279</v>
      </c>
      <c r="K33" s="133">
        <f>1610059</f>
        <v>1610059</v>
      </c>
      <c r="L33" s="133">
        <f>896271</f>
        <v>896271</v>
      </c>
      <c r="M33" s="133">
        <f>2107995</f>
        <v>2107995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3505000</f>
        <v>3505000</v>
      </c>
      <c r="D34" s="112">
        <f t="shared" si="0"/>
        <v>3068000</v>
      </c>
      <c r="E34" s="112">
        <f t="shared" si="0"/>
        <v>3068000</v>
      </c>
      <c r="F34" s="112">
        <f t="shared" si="0"/>
        <v>3068000</v>
      </c>
      <c r="G34" s="112">
        <f>3372147</f>
        <v>3372147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3500000</f>
        <v>3500000</v>
      </c>
      <c r="D35" s="136">
        <f>2900000</f>
        <v>2900000</v>
      </c>
      <c r="E35" s="136">
        <f>2900000</f>
        <v>2900000</v>
      </c>
      <c r="F35" s="136">
        <f>2900000</f>
        <v>2900000</v>
      </c>
      <c r="G35" s="136">
        <f>3156930</f>
        <v>3156930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3659400</f>
        <v>3659400</v>
      </c>
      <c r="D36" s="139">
        <f>3040000</f>
        <v>3040000</v>
      </c>
      <c r="E36" s="139">
        <f>406374</f>
        <v>406374</v>
      </c>
      <c r="F36" s="139">
        <f>985634</f>
        <v>985634</v>
      </c>
      <c r="G36" s="139">
        <f>1061703</f>
        <v>1061703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498448</f>
        <v>498448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12709000</f>
        <v>12709000</v>
      </c>
      <c r="D39" s="141">
        <f>12078400</f>
        <v>12078400</v>
      </c>
      <c r="E39" s="141">
        <f>11703774</f>
        <v>11703774</v>
      </c>
      <c r="F39" s="141">
        <f>11292508</f>
        <v>11292508</v>
      </c>
      <c r="G39" s="141">
        <f>10854211</f>
        <v>10854211</v>
      </c>
      <c r="H39" s="141">
        <f>9160211</f>
        <v>9160211</v>
      </c>
      <c r="I39" s="141">
        <f>7210211</f>
        <v>7210211</v>
      </c>
      <c r="J39" s="141">
        <f>4760211</f>
        <v>4760211</v>
      </c>
      <c r="K39" s="141">
        <f>4260211</f>
        <v>4260211</v>
      </c>
      <c r="L39" s="141">
        <f>1693635</f>
        <v>1693635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630600</f>
        <v>630600</v>
      </c>
      <c r="E43" s="41">
        <f>374626</f>
        <v>374626</v>
      </c>
      <c r="F43" s="41">
        <f>411266</f>
        <v>411266</v>
      </c>
      <c r="G43" s="41">
        <f>438297</f>
        <v>438297</v>
      </c>
      <c r="H43" s="41">
        <f>1694000</f>
        <v>1694000</v>
      </c>
      <c r="I43" s="41">
        <f>1950000</f>
        <v>1950000</v>
      </c>
      <c r="J43" s="41">
        <f>2450000</f>
        <v>2450000</v>
      </c>
      <c r="K43" s="41">
        <f>500000</f>
        <v>500000</v>
      </c>
      <c r="L43" s="41">
        <f>2566576</f>
        <v>2566576</v>
      </c>
      <c r="M43" s="41">
        <f>1693635</f>
        <v>1693635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0.3999</f>
        <v>0.3999</v>
      </c>
      <c r="D46" s="148">
        <f>0.3861</f>
        <v>0.3861</v>
      </c>
      <c r="E46" s="148">
        <f>0.3681</f>
        <v>0.3681</v>
      </c>
      <c r="F46" s="148">
        <f>0.3473</f>
        <v>0.3473</v>
      </c>
      <c r="G46" s="148">
        <f>0.3231</f>
        <v>0.3231</v>
      </c>
      <c r="H46" s="148">
        <f>0.2777</f>
        <v>0.2777</v>
      </c>
      <c r="I46" s="148">
        <f>0.2128</f>
        <v>0.2128</v>
      </c>
      <c r="J46" s="148">
        <f>0.136</f>
        <v>0.136</v>
      </c>
      <c r="K46" s="148">
        <f>0.1209</f>
        <v>0.1209</v>
      </c>
      <c r="L46" s="148">
        <f>0.0457</f>
        <v>0.0457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0.3999</f>
        <v>0.3999</v>
      </c>
      <c r="D47" s="121">
        <f>0.3861</f>
        <v>0.3861</v>
      </c>
      <c r="E47" s="121">
        <f>0.3681</f>
        <v>0.3681</v>
      </c>
      <c r="F47" s="121">
        <f>0.3473</f>
        <v>0.3473</v>
      </c>
      <c r="G47" s="121">
        <f>0.3231</f>
        <v>0.3231</v>
      </c>
      <c r="H47" s="121">
        <f>0.2777</f>
        <v>0.2777</v>
      </c>
      <c r="I47" s="121">
        <f>0.2128</f>
        <v>0.2128</v>
      </c>
      <c r="J47" s="121">
        <f>0.136</f>
        <v>0.136</v>
      </c>
      <c r="K47" s="121">
        <f>0.1209</f>
        <v>0.1209</v>
      </c>
      <c r="L47" s="121">
        <f>0.0457</f>
        <v>0.0457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0.1183</f>
        <v>0.1183</v>
      </c>
      <c r="D48" s="121">
        <f>0.14</f>
        <v>0.14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0.1183</f>
        <v>0.1183</v>
      </c>
      <c r="D49" s="150">
        <f>0.14</f>
        <v>0.14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0.0557</f>
        <v>0.0557</v>
      </c>
      <c r="D50" s="148">
        <f>0.0698</f>
        <v>0.0698</v>
      </c>
      <c r="E50" s="148">
        <f>0.0606</f>
        <v>0.0606</v>
      </c>
      <c r="F50" s="148">
        <f>0.0604</f>
        <v>0.0604</v>
      </c>
      <c r="G50" s="148">
        <f>0.0653</f>
        <v>0.0653</v>
      </c>
      <c r="H50" s="148">
        <f>0.0796</f>
        <v>0.0796</v>
      </c>
      <c r="I50" s="148">
        <f>0.0784</f>
        <v>0.0784</v>
      </c>
      <c r="J50" s="148">
        <f>0.0941</f>
        <v>0.0941</v>
      </c>
      <c r="K50" s="148">
        <f>0.0599</f>
        <v>0.0599</v>
      </c>
      <c r="L50" s="148">
        <f>0.0935</f>
        <v>0.0935</v>
      </c>
      <c r="M50" s="148">
        <f>0.0997</f>
        <v>0.0997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0.0931</f>
        <v>0.0931</v>
      </c>
      <c r="D51" s="121">
        <f>0.0573</f>
        <v>0.0573</v>
      </c>
      <c r="E51" s="121">
        <f>0.0453</f>
        <v>0.0453</v>
      </c>
      <c r="F51" s="121">
        <f>0.062</f>
        <v>0.062</v>
      </c>
      <c r="G51" s="121">
        <f>0.0636</f>
        <v>0.0636</v>
      </c>
      <c r="H51" s="121">
        <f>0.0621</f>
        <v>0.0621</v>
      </c>
      <c r="I51" s="121">
        <f>0.0684</f>
        <v>0.0684</v>
      </c>
      <c r="J51" s="121">
        <f>0.0744</f>
        <v>0.0744</v>
      </c>
      <c r="K51" s="121">
        <f>0.084</f>
        <v>0.084</v>
      </c>
      <c r="L51" s="121">
        <f>0.0775</f>
        <v>0.0775</v>
      </c>
      <c r="M51" s="121">
        <f>0.0825</f>
        <v>0.0825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0.1183</f>
        <v>0.1183</v>
      </c>
      <c r="D52" s="121">
        <f>0.14</f>
        <v>0.14</v>
      </c>
      <c r="E52" s="121">
        <f>0.0434</f>
        <v>0.0434</v>
      </c>
      <c r="F52" s="121">
        <f>0.0593</f>
        <v>0.0593</v>
      </c>
      <c r="G52" s="121">
        <f>0.0592</f>
        <v>0.0592</v>
      </c>
      <c r="H52" s="121">
        <f>0.062</f>
        <v>0.062</v>
      </c>
      <c r="I52" s="121">
        <f>0.0649</f>
        <v>0.0649</v>
      </c>
      <c r="J52" s="121">
        <f>0.0734</f>
        <v>0.0734</v>
      </c>
      <c r="K52" s="121">
        <f>0.0203</f>
        <v>0.0203</v>
      </c>
      <c r="L52" s="121">
        <f>0.0728</f>
        <v>0.0728</v>
      </c>
      <c r="M52" s="121">
        <f>0.0476</f>
        <v>0.0476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1" ref="D53:AD53">IF(D52&lt;=D$51,"Spełnia  art. 243","Nie spełnia art. 243")</f>
        <v>Nie spełnia art. 243</v>
      </c>
      <c r="E53" s="123" t="str">
        <f t="shared" si="1"/>
        <v>Spełnia  art. 243</v>
      </c>
      <c r="F53" s="123" t="str">
        <f t="shared" si="1"/>
        <v>Spełnia  art. 243</v>
      </c>
      <c r="G53" s="123" t="str">
        <f t="shared" si="1"/>
        <v>Spełnia  art. 243</v>
      </c>
      <c r="H53" s="123" t="str">
        <f t="shared" si="1"/>
        <v>Spełnia  art. 243</v>
      </c>
      <c r="I53" s="123" t="str">
        <f t="shared" si="1"/>
        <v>Spełnia  art. 243</v>
      </c>
      <c r="J53" s="123" t="str">
        <f t="shared" si="1"/>
        <v>Spełnia  art. 243</v>
      </c>
      <c r="K53" s="123" t="str">
        <f t="shared" si="1"/>
        <v>Spełnia  art. 243</v>
      </c>
      <c r="L53" s="123" t="str">
        <f t="shared" si="1"/>
        <v>Spełnia  art. 243</v>
      </c>
      <c r="M53" s="123" t="str">
        <f t="shared" si="1"/>
        <v>Spełnia  art. 243</v>
      </c>
      <c r="N53" s="123" t="str">
        <f t="shared" si="1"/>
        <v>Spełnia  art. 243</v>
      </c>
      <c r="O53" s="123" t="str">
        <f t="shared" si="1"/>
        <v>Spełnia  art. 243</v>
      </c>
      <c r="P53" s="123" t="str">
        <f t="shared" si="1"/>
        <v>Spełnia  art. 243</v>
      </c>
      <c r="Q53" s="123" t="str">
        <f t="shared" si="1"/>
        <v>Spełnia  art. 243</v>
      </c>
      <c r="R53" s="123" t="str">
        <f t="shared" si="1"/>
        <v>Spełnia  art. 243</v>
      </c>
      <c r="S53" s="123" t="str">
        <f t="shared" si="1"/>
        <v>Spełnia  art. 243</v>
      </c>
      <c r="T53" s="123" t="str">
        <f t="shared" si="1"/>
        <v>Spełnia  art. 243</v>
      </c>
      <c r="U53" s="123" t="str">
        <f t="shared" si="1"/>
        <v>Spełnia  art. 243</v>
      </c>
      <c r="V53" s="123" t="str">
        <f t="shared" si="1"/>
        <v>Spełnia  art. 243</v>
      </c>
      <c r="W53" s="123" t="str">
        <f t="shared" si="1"/>
        <v>Spełnia  art. 243</v>
      </c>
      <c r="X53" s="123" t="str">
        <f t="shared" si="1"/>
        <v>Spełnia  art. 243</v>
      </c>
      <c r="Y53" s="123" t="str">
        <f t="shared" si="1"/>
        <v>Spełnia  art. 243</v>
      </c>
      <c r="Z53" s="123" t="str">
        <f t="shared" si="1"/>
        <v>Spełnia  art. 243</v>
      </c>
      <c r="AA53" s="123" t="str">
        <f t="shared" si="1"/>
        <v>Spełnia  art. 243</v>
      </c>
      <c r="AB53" s="123" t="str">
        <f t="shared" si="1"/>
        <v>Spełnia  art. 243</v>
      </c>
      <c r="AC53" s="123" t="str">
        <f t="shared" si="1"/>
        <v>Spełnia  art. 243</v>
      </c>
      <c r="AD53" s="123" t="str">
        <f t="shared" si="1"/>
        <v>Spełnia  art. 243</v>
      </c>
      <c r="AE53" s="123" t="str">
        <f aca="true" t="shared" si="2" ref="AE53:AO53">IF(AE52&lt;=AE$51,"Spełnia  art. 243","Nie spełnia art. 243")</f>
        <v>Spełnia  art. 243</v>
      </c>
      <c r="AF53" s="123" t="str">
        <f t="shared" si="2"/>
        <v>Spełnia  art. 243</v>
      </c>
      <c r="AG53" s="123" t="str">
        <f t="shared" si="2"/>
        <v>Spełnia  art. 243</v>
      </c>
      <c r="AH53" s="123" t="str">
        <f t="shared" si="2"/>
        <v>Spełnia  art. 243</v>
      </c>
      <c r="AI53" s="123" t="str">
        <f t="shared" si="2"/>
        <v>Spełnia  art. 243</v>
      </c>
      <c r="AJ53" s="123" t="str">
        <f t="shared" si="2"/>
        <v>Spełnia  art. 243</v>
      </c>
      <c r="AK53" s="123" t="str">
        <f t="shared" si="2"/>
        <v>Spełnia  art. 243</v>
      </c>
      <c r="AL53" s="123" t="str">
        <f t="shared" si="2"/>
        <v>Spełnia  art. 243</v>
      </c>
      <c r="AM53" s="123" t="str">
        <f t="shared" si="2"/>
        <v>Spełnia  art. 243</v>
      </c>
      <c r="AN53" s="123" t="str">
        <f t="shared" si="2"/>
        <v>Spełnia  art. 243</v>
      </c>
      <c r="AO53" s="123" t="str">
        <f t="shared" si="2"/>
        <v>Spełnia  art. 243</v>
      </c>
    </row>
    <row r="54" spans="1:41" ht="25.5">
      <c r="A54" s="124">
        <v>22</v>
      </c>
      <c r="B54" s="125" t="s">
        <v>79</v>
      </c>
      <c r="C54" s="121">
        <f>0.1183</f>
        <v>0.1183</v>
      </c>
      <c r="D54" s="121">
        <f>0.14</f>
        <v>0.14</v>
      </c>
      <c r="E54" s="121">
        <f>0.0434</f>
        <v>0.0434</v>
      </c>
      <c r="F54" s="121">
        <f>0.0593</f>
        <v>0.0593</v>
      </c>
      <c r="G54" s="121">
        <f>0.0592</f>
        <v>0.0592</v>
      </c>
      <c r="H54" s="121">
        <f>0.062</f>
        <v>0.062</v>
      </c>
      <c r="I54" s="121">
        <f>0.0649</f>
        <v>0.0649</v>
      </c>
      <c r="J54" s="121">
        <f>0.0734</f>
        <v>0.0734</v>
      </c>
      <c r="K54" s="121">
        <f>0.0203</f>
        <v>0.0203</v>
      </c>
      <c r="L54" s="121">
        <f>0.0728</f>
        <v>0.0728</v>
      </c>
      <c r="M54" s="121">
        <f>0.0476</f>
        <v>0.0476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3" ref="D55:AD55">IF(D54&lt;=D$51,"Spełnia  art. 243","Nie spełnia art. 243")</f>
        <v>Nie spełnia art. 243</v>
      </c>
      <c r="E55" s="153" t="str">
        <f t="shared" si="3"/>
        <v>Spełnia  art. 243</v>
      </c>
      <c r="F55" s="153" t="str">
        <f t="shared" si="3"/>
        <v>Spełnia  art. 243</v>
      </c>
      <c r="G55" s="153" t="str">
        <f t="shared" si="3"/>
        <v>Spełnia  art. 243</v>
      </c>
      <c r="H55" s="153" t="str">
        <f t="shared" si="3"/>
        <v>Spełnia  art. 243</v>
      </c>
      <c r="I55" s="153" t="str">
        <f t="shared" si="3"/>
        <v>Spełnia  art. 243</v>
      </c>
      <c r="J55" s="153" t="str">
        <f t="shared" si="3"/>
        <v>Spełnia  art. 243</v>
      </c>
      <c r="K55" s="153" t="str">
        <f t="shared" si="3"/>
        <v>Spełnia  art. 243</v>
      </c>
      <c r="L55" s="153" t="str">
        <f t="shared" si="3"/>
        <v>Spełnia  art. 243</v>
      </c>
      <c r="M55" s="153" t="str">
        <f t="shared" si="3"/>
        <v>Spełnia  art. 243</v>
      </c>
      <c r="N55" s="153" t="str">
        <f t="shared" si="3"/>
        <v>Spełnia  art. 243</v>
      </c>
      <c r="O55" s="153" t="str">
        <f t="shared" si="3"/>
        <v>Spełnia  art. 243</v>
      </c>
      <c r="P55" s="153" t="str">
        <f t="shared" si="3"/>
        <v>Spełnia  art. 243</v>
      </c>
      <c r="Q55" s="153" t="str">
        <f t="shared" si="3"/>
        <v>Spełnia  art. 243</v>
      </c>
      <c r="R55" s="153" t="str">
        <f t="shared" si="3"/>
        <v>Spełnia  art. 243</v>
      </c>
      <c r="S55" s="153" t="str">
        <f t="shared" si="3"/>
        <v>Spełnia  art. 243</v>
      </c>
      <c r="T55" s="153" t="str">
        <f t="shared" si="3"/>
        <v>Spełnia  art. 243</v>
      </c>
      <c r="U55" s="153" t="str">
        <f t="shared" si="3"/>
        <v>Spełnia  art. 243</v>
      </c>
      <c r="V55" s="153" t="str">
        <f t="shared" si="3"/>
        <v>Spełnia  art. 243</v>
      </c>
      <c r="W55" s="153" t="str">
        <f t="shared" si="3"/>
        <v>Spełnia  art. 243</v>
      </c>
      <c r="X55" s="153" t="str">
        <f t="shared" si="3"/>
        <v>Spełnia  art. 243</v>
      </c>
      <c r="Y55" s="153" t="str">
        <f t="shared" si="3"/>
        <v>Spełnia  art. 243</v>
      </c>
      <c r="Z55" s="153" t="str">
        <f t="shared" si="3"/>
        <v>Spełnia  art. 243</v>
      </c>
      <c r="AA55" s="153" t="str">
        <f t="shared" si="3"/>
        <v>Spełnia  art. 243</v>
      </c>
      <c r="AB55" s="153" t="str">
        <f t="shared" si="3"/>
        <v>Spełnia  art. 243</v>
      </c>
      <c r="AC55" s="153" t="str">
        <f t="shared" si="3"/>
        <v>Spełnia  art. 243</v>
      </c>
      <c r="AD55" s="153" t="str">
        <f t="shared" si="3"/>
        <v>Spełnia  art. 243</v>
      </c>
      <c r="AE55" s="153" t="str">
        <f aca="true" t="shared" si="4" ref="AE55:AO55">IF(AE54&lt;=AE$51,"Spełnia  art. 243","Nie spełnia art. 243")</f>
        <v>Spełnia  art. 243</v>
      </c>
      <c r="AF55" s="153" t="str">
        <f t="shared" si="4"/>
        <v>Spełnia  art. 243</v>
      </c>
      <c r="AG55" s="153" t="str">
        <f t="shared" si="4"/>
        <v>Spełnia  art. 243</v>
      </c>
      <c r="AH55" s="153" t="str">
        <f t="shared" si="4"/>
        <v>Spełnia  art. 243</v>
      </c>
      <c r="AI55" s="153" t="str">
        <f t="shared" si="4"/>
        <v>Spełnia  art. 243</v>
      </c>
      <c r="AJ55" s="153" t="str">
        <f t="shared" si="4"/>
        <v>Spełnia  art. 243</v>
      </c>
      <c r="AK55" s="153" t="str">
        <f t="shared" si="4"/>
        <v>Spełnia  art. 243</v>
      </c>
      <c r="AL55" s="153" t="str">
        <f t="shared" si="4"/>
        <v>Spełnia  art. 243</v>
      </c>
      <c r="AM55" s="153" t="str">
        <f t="shared" si="4"/>
        <v>Spełnia  art. 243</v>
      </c>
      <c r="AN55" s="153" t="str">
        <f t="shared" si="4"/>
        <v>Spełnia  art. 243</v>
      </c>
      <c r="AO55" s="153" t="str">
        <f t="shared" si="4"/>
        <v>Spełnia  art. 243</v>
      </c>
    </row>
    <row r="56" spans="1:41" ht="12.75">
      <c r="A56" s="154">
        <v>23</v>
      </c>
      <c r="B56" s="155" t="s">
        <v>151</v>
      </c>
      <c r="C56" s="139">
        <f>28407264.29</f>
        <v>28407264.29</v>
      </c>
      <c r="D56" s="139">
        <f>29768833</f>
        <v>29768833</v>
      </c>
      <c r="E56" s="139">
        <f>30279363</f>
        <v>30279363</v>
      </c>
      <c r="F56" s="139">
        <f>31000274</f>
        <v>31000274</v>
      </c>
      <c r="G56" s="139">
        <f>31983475</f>
        <v>31983475</v>
      </c>
      <c r="H56" s="139">
        <f>32991479</f>
        <v>32991479</v>
      </c>
      <c r="I56" s="139">
        <f>33878223</f>
        <v>33878223</v>
      </c>
      <c r="J56" s="139">
        <f>34994570</f>
        <v>34994570</v>
      </c>
      <c r="K56" s="139">
        <f>35241407</f>
        <v>35241407</v>
      </c>
      <c r="L56" s="139">
        <f>37019649</f>
        <v>37019649</v>
      </c>
      <c r="M56" s="139">
        <f>38130238</f>
        <v>38130238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26636608.29</f>
        <v>26636608.29</v>
      </c>
      <c r="D57" s="117">
        <f>27585233</f>
        <v>27585233</v>
      </c>
      <c r="E57" s="117">
        <f>28351737</f>
        <v>28351737</v>
      </c>
      <c r="F57" s="117">
        <f>29036008</f>
        <v>29036008</v>
      </c>
      <c r="G57" s="117">
        <f>29788344</f>
        <v>29788344</v>
      </c>
      <c r="H57" s="117">
        <f>30366241</f>
        <v>30366241</v>
      </c>
      <c r="I57" s="117">
        <f>31221747</f>
        <v>31221747</v>
      </c>
      <c r="J57" s="117">
        <f>31702291</f>
        <v>31702291</v>
      </c>
      <c r="K57" s="117">
        <f>33131348</f>
        <v>33131348</v>
      </c>
      <c r="L57" s="117">
        <f>33556802</f>
        <v>33556802</v>
      </c>
      <c r="M57" s="117">
        <f>34328608</f>
        <v>34328608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1770656</f>
        <v>1770656</v>
      </c>
      <c r="D58" s="130">
        <f>2183600</f>
        <v>2183600</v>
      </c>
      <c r="E58" s="130">
        <f>1927626</f>
        <v>1927626</v>
      </c>
      <c r="F58" s="130">
        <f>1964266</f>
        <v>1964266</v>
      </c>
      <c r="G58" s="130">
        <f>2195131</f>
        <v>2195131</v>
      </c>
      <c r="H58" s="130">
        <f>2625238</f>
        <v>2625238</v>
      </c>
      <c r="I58" s="130">
        <f>2656476</f>
        <v>2656476</v>
      </c>
      <c r="J58" s="130">
        <f>3292279</f>
        <v>3292279</v>
      </c>
      <c r="K58" s="130">
        <f>2110059</f>
        <v>2110059</v>
      </c>
      <c r="L58" s="130">
        <f>3462847</f>
        <v>3462847</v>
      </c>
      <c r="M58" s="130">
        <f>3801630</f>
        <v>3801630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3371624</v>
      </c>
      <c r="D59" s="139">
        <f aca="true" t="shared" si="5" ref="D59:AO59">+D10</f>
        <v>1515000</v>
      </c>
      <c r="E59" s="139">
        <f t="shared" si="5"/>
        <v>1515000</v>
      </c>
      <c r="F59" s="139">
        <f t="shared" si="5"/>
        <v>1515000</v>
      </c>
      <c r="G59" s="139">
        <f t="shared" si="5"/>
        <v>1615313</v>
      </c>
      <c r="H59" s="139">
        <f t="shared" si="5"/>
        <v>0</v>
      </c>
      <c r="I59" s="139">
        <f t="shared" si="5"/>
        <v>0</v>
      </c>
      <c r="J59" s="139">
        <f t="shared" si="5"/>
        <v>0</v>
      </c>
      <c r="K59" s="139">
        <f t="shared" si="5"/>
        <v>0</v>
      </c>
      <c r="L59" s="139">
        <f t="shared" si="5"/>
        <v>0</v>
      </c>
      <c r="M59" s="139">
        <f t="shared" si="5"/>
        <v>0</v>
      </c>
      <c r="N59" s="139">
        <f t="shared" si="5"/>
        <v>0</v>
      </c>
      <c r="O59" s="139">
        <f t="shared" si="5"/>
        <v>0</v>
      </c>
      <c r="P59" s="139">
        <f t="shared" si="5"/>
        <v>0</v>
      </c>
      <c r="Q59" s="139">
        <f t="shared" si="5"/>
        <v>0</v>
      </c>
      <c r="R59" s="139">
        <f t="shared" si="5"/>
        <v>0</v>
      </c>
      <c r="S59" s="139">
        <f t="shared" si="5"/>
        <v>0</v>
      </c>
      <c r="T59" s="139">
        <f t="shared" si="5"/>
        <v>0</v>
      </c>
      <c r="U59" s="139">
        <f t="shared" si="5"/>
        <v>0</v>
      </c>
      <c r="V59" s="139">
        <f t="shared" si="5"/>
        <v>0</v>
      </c>
      <c r="W59" s="139">
        <f t="shared" si="5"/>
        <v>0</v>
      </c>
      <c r="X59" s="139">
        <f t="shared" si="5"/>
        <v>0</v>
      </c>
      <c r="Y59" s="139">
        <f t="shared" si="5"/>
        <v>0</v>
      </c>
      <c r="Z59" s="139">
        <f t="shared" si="5"/>
        <v>0</v>
      </c>
      <c r="AA59" s="139">
        <f t="shared" si="5"/>
        <v>0</v>
      </c>
      <c r="AB59" s="139">
        <f t="shared" si="5"/>
        <v>0</v>
      </c>
      <c r="AC59" s="139">
        <f t="shared" si="5"/>
        <v>0</v>
      </c>
      <c r="AD59" s="139">
        <f t="shared" si="5"/>
        <v>0</v>
      </c>
      <c r="AE59" s="139">
        <f t="shared" si="5"/>
        <v>0</v>
      </c>
      <c r="AF59" s="139">
        <f t="shared" si="5"/>
        <v>0</v>
      </c>
      <c r="AG59" s="139">
        <f t="shared" si="5"/>
        <v>0</v>
      </c>
      <c r="AH59" s="139">
        <f t="shared" si="5"/>
        <v>0</v>
      </c>
      <c r="AI59" s="139">
        <f t="shared" si="5"/>
        <v>0</v>
      </c>
      <c r="AJ59" s="139">
        <f t="shared" si="5"/>
        <v>0</v>
      </c>
      <c r="AK59" s="139">
        <f t="shared" si="5"/>
        <v>0</v>
      </c>
      <c r="AL59" s="139">
        <f t="shared" si="5"/>
        <v>0</v>
      </c>
      <c r="AM59" s="139">
        <f t="shared" si="5"/>
        <v>0</v>
      </c>
      <c r="AN59" s="139">
        <f t="shared" si="5"/>
        <v>0</v>
      </c>
      <c r="AO59" s="139">
        <f t="shared" si="5"/>
        <v>0</v>
      </c>
    </row>
    <row r="60" spans="1:41" ht="12.75">
      <c r="A60" s="126"/>
      <c r="B60" s="127" t="s">
        <v>196</v>
      </c>
      <c r="C60" s="117">
        <f>+C33</f>
        <v>5640728</v>
      </c>
      <c r="D60" s="117">
        <f aca="true" t="shared" si="6" ref="D60:AO60">+D33</f>
        <v>3068000</v>
      </c>
      <c r="E60" s="117">
        <f t="shared" si="6"/>
        <v>3068000</v>
      </c>
      <c r="F60" s="117">
        <f t="shared" si="6"/>
        <v>3068000</v>
      </c>
      <c r="G60" s="117">
        <f t="shared" si="6"/>
        <v>3372147</v>
      </c>
      <c r="H60" s="117">
        <f t="shared" si="6"/>
        <v>931238</v>
      </c>
      <c r="I60" s="117">
        <f t="shared" si="6"/>
        <v>706476</v>
      </c>
      <c r="J60" s="117">
        <f t="shared" si="6"/>
        <v>842279</v>
      </c>
      <c r="K60" s="117">
        <f t="shared" si="6"/>
        <v>1610059</v>
      </c>
      <c r="L60" s="117">
        <f t="shared" si="6"/>
        <v>896271</v>
      </c>
      <c r="M60" s="117">
        <f t="shared" si="6"/>
        <v>2107995</v>
      </c>
      <c r="N60" s="117">
        <f t="shared" si="6"/>
        <v>0</v>
      </c>
      <c r="O60" s="117">
        <f t="shared" si="6"/>
        <v>0</v>
      </c>
      <c r="P60" s="117">
        <f t="shared" si="6"/>
        <v>0</v>
      </c>
      <c r="Q60" s="117">
        <f t="shared" si="6"/>
        <v>0</v>
      </c>
      <c r="R60" s="117">
        <f t="shared" si="6"/>
        <v>0</v>
      </c>
      <c r="S60" s="117">
        <f t="shared" si="6"/>
        <v>0</v>
      </c>
      <c r="T60" s="117">
        <f t="shared" si="6"/>
        <v>0</v>
      </c>
      <c r="U60" s="117">
        <f t="shared" si="6"/>
        <v>0</v>
      </c>
      <c r="V60" s="117">
        <f t="shared" si="6"/>
        <v>0</v>
      </c>
      <c r="W60" s="117">
        <f t="shared" si="6"/>
        <v>0</v>
      </c>
      <c r="X60" s="117">
        <f t="shared" si="6"/>
        <v>0</v>
      </c>
      <c r="Y60" s="117">
        <f t="shared" si="6"/>
        <v>0</v>
      </c>
      <c r="Z60" s="117">
        <f t="shared" si="6"/>
        <v>0</v>
      </c>
      <c r="AA60" s="117">
        <f t="shared" si="6"/>
        <v>0</v>
      </c>
      <c r="AB60" s="117">
        <f t="shared" si="6"/>
        <v>0</v>
      </c>
      <c r="AC60" s="117">
        <f t="shared" si="6"/>
        <v>0</v>
      </c>
      <c r="AD60" s="117">
        <f t="shared" si="6"/>
        <v>0</v>
      </c>
      <c r="AE60" s="117">
        <f t="shared" si="6"/>
        <v>0</v>
      </c>
      <c r="AF60" s="117">
        <f t="shared" si="6"/>
        <v>0</v>
      </c>
      <c r="AG60" s="117">
        <f t="shared" si="6"/>
        <v>0</v>
      </c>
      <c r="AH60" s="117">
        <f t="shared" si="6"/>
        <v>0</v>
      </c>
      <c r="AI60" s="117">
        <f t="shared" si="6"/>
        <v>0</v>
      </c>
      <c r="AJ60" s="117">
        <f t="shared" si="6"/>
        <v>0</v>
      </c>
      <c r="AK60" s="117">
        <f t="shared" si="6"/>
        <v>0</v>
      </c>
      <c r="AL60" s="117">
        <f t="shared" si="6"/>
        <v>0</v>
      </c>
      <c r="AM60" s="117">
        <f t="shared" si="6"/>
        <v>0</v>
      </c>
      <c r="AN60" s="117">
        <f t="shared" si="6"/>
        <v>0</v>
      </c>
      <c r="AO60" s="117">
        <f t="shared" si="6"/>
        <v>0</v>
      </c>
    </row>
    <row r="61" spans="1:41" ht="12.75">
      <c r="A61" s="151"/>
      <c r="B61" s="156" t="s">
        <v>194</v>
      </c>
      <c r="C61" s="130">
        <f>+C59-C60</f>
        <v>-2269104</v>
      </c>
      <c r="D61" s="130">
        <f aca="true" t="shared" si="7" ref="D61:AO61">+D59-D60</f>
        <v>-1553000</v>
      </c>
      <c r="E61" s="130">
        <f t="shared" si="7"/>
        <v>-1553000</v>
      </c>
      <c r="F61" s="130">
        <f t="shared" si="7"/>
        <v>-1553000</v>
      </c>
      <c r="G61" s="130">
        <f t="shared" si="7"/>
        <v>-1756834</v>
      </c>
      <c r="H61" s="130">
        <f t="shared" si="7"/>
        <v>-931238</v>
      </c>
      <c r="I61" s="130">
        <f t="shared" si="7"/>
        <v>-706476</v>
      </c>
      <c r="J61" s="130">
        <f t="shared" si="7"/>
        <v>-842279</v>
      </c>
      <c r="K61" s="130">
        <f t="shared" si="7"/>
        <v>-1610059</v>
      </c>
      <c r="L61" s="130">
        <f t="shared" si="7"/>
        <v>-896271</v>
      </c>
      <c r="M61" s="130">
        <f t="shared" si="7"/>
        <v>-2107995</v>
      </c>
      <c r="N61" s="130">
        <f t="shared" si="7"/>
        <v>0</v>
      </c>
      <c r="O61" s="130">
        <f t="shared" si="7"/>
        <v>0</v>
      </c>
      <c r="P61" s="130">
        <f t="shared" si="7"/>
        <v>0</v>
      </c>
      <c r="Q61" s="130">
        <f t="shared" si="7"/>
        <v>0</v>
      </c>
      <c r="R61" s="130">
        <f t="shared" si="7"/>
        <v>0</v>
      </c>
      <c r="S61" s="130">
        <f t="shared" si="7"/>
        <v>0</v>
      </c>
      <c r="T61" s="130">
        <f t="shared" si="7"/>
        <v>0</v>
      </c>
      <c r="U61" s="130">
        <f t="shared" si="7"/>
        <v>0</v>
      </c>
      <c r="V61" s="130">
        <f t="shared" si="7"/>
        <v>0</v>
      </c>
      <c r="W61" s="130">
        <f t="shared" si="7"/>
        <v>0</v>
      </c>
      <c r="X61" s="130">
        <f t="shared" si="7"/>
        <v>0</v>
      </c>
      <c r="Y61" s="130">
        <f t="shared" si="7"/>
        <v>0</v>
      </c>
      <c r="Z61" s="130">
        <f t="shared" si="7"/>
        <v>0</v>
      </c>
      <c r="AA61" s="130">
        <f t="shared" si="7"/>
        <v>0</v>
      </c>
      <c r="AB61" s="130">
        <f t="shared" si="7"/>
        <v>0</v>
      </c>
      <c r="AC61" s="130">
        <f t="shared" si="7"/>
        <v>0</v>
      </c>
      <c r="AD61" s="130">
        <f t="shared" si="7"/>
        <v>0</v>
      </c>
      <c r="AE61" s="130">
        <f t="shared" si="7"/>
        <v>0</v>
      </c>
      <c r="AF61" s="130">
        <f t="shared" si="7"/>
        <v>0</v>
      </c>
      <c r="AG61" s="130">
        <f t="shared" si="7"/>
        <v>0</v>
      </c>
      <c r="AH61" s="130">
        <f t="shared" si="7"/>
        <v>0</v>
      </c>
      <c r="AI61" s="130">
        <f t="shared" si="7"/>
        <v>0</v>
      </c>
      <c r="AJ61" s="130">
        <f t="shared" si="7"/>
        <v>0</v>
      </c>
      <c r="AK61" s="130">
        <f t="shared" si="7"/>
        <v>0</v>
      </c>
      <c r="AL61" s="130">
        <f t="shared" si="7"/>
        <v>0</v>
      </c>
      <c r="AM61" s="130">
        <f t="shared" si="7"/>
        <v>0</v>
      </c>
      <c r="AN61" s="130">
        <f t="shared" si="7"/>
        <v>0</v>
      </c>
      <c r="AO61" s="130">
        <f t="shared" si="7"/>
        <v>0</v>
      </c>
    </row>
    <row r="62" spans="1:41" ht="12.75">
      <c r="A62" s="154">
        <v>26</v>
      </c>
      <c r="B62" s="155" t="s">
        <v>153</v>
      </c>
      <c r="C62" s="139">
        <f>31778888.29</f>
        <v>31778888.29</v>
      </c>
      <c r="D62" s="139">
        <f>31283833</f>
        <v>31283833</v>
      </c>
      <c r="E62" s="139">
        <f>31794363</f>
        <v>31794363</v>
      </c>
      <c r="F62" s="139">
        <f>32515274</f>
        <v>32515274</v>
      </c>
      <c r="G62" s="139">
        <f>33598788</f>
        <v>33598788</v>
      </c>
      <c r="H62" s="139">
        <f>32991479</f>
        <v>32991479</v>
      </c>
      <c r="I62" s="139">
        <f>33878223</f>
        <v>33878223</v>
      </c>
      <c r="J62" s="139">
        <f>34994570</f>
        <v>34994570</v>
      </c>
      <c r="K62" s="139">
        <f>35241407</f>
        <v>35241407</v>
      </c>
      <c r="L62" s="139">
        <f>37019649</f>
        <v>37019649</v>
      </c>
      <c r="M62" s="139">
        <f>38130238</f>
        <v>38130238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32277336.29</f>
        <v>32277336.29</v>
      </c>
      <c r="D63" s="117">
        <f>30653233</f>
        <v>30653233</v>
      </c>
      <c r="E63" s="117">
        <f>31419737</f>
        <v>31419737</v>
      </c>
      <c r="F63" s="117">
        <f>32104008</f>
        <v>32104008</v>
      </c>
      <c r="G63" s="117">
        <f>33160491</f>
        <v>33160491</v>
      </c>
      <c r="H63" s="117">
        <f>31297479</f>
        <v>31297479</v>
      </c>
      <c r="I63" s="117">
        <f>31928223</f>
        <v>31928223</v>
      </c>
      <c r="J63" s="117">
        <f>32544570</f>
        <v>32544570</v>
      </c>
      <c r="K63" s="117">
        <f>34741407</f>
        <v>34741407</v>
      </c>
      <c r="L63" s="117">
        <f>34453073</f>
        <v>34453073</v>
      </c>
      <c r="M63" s="117">
        <f>36436603</f>
        <v>36436603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-498448</f>
        <v>-498448</v>
      </c>
      <c r="D64" s="130">
        <f>630600</f>
        <v>630600</v>
      </c>
      <c r="E64" s="130">
        <f>374626</f>
        <v>374626</v>
      </c>
      <c r="F64" s="130">
        <f>411266</f>
        <v>411266</v>
      </c>
      <c r="G64" s="130">
        <f>438297</f>
        <v>438297</v>
      </c>
      <c r="H64" s="130">
        <f>1694000</f>
        <v>1694000</v>
      </c>
      <c r="I64" s="130">
        <f>1950000</f>
        <v>1950000</v>
      </c>
      <c r="J64" s="130">
        <f>2450000</f>
        <v>2450000</v>
      </c>
      <c r="K64" s="130">
        <f>500000</f>
        <v>500000</v>
      </c>
      <c r="L64" s="130">
        <f>2566576</f>
        <v>2566576</v>
      </c>
      <c r="M64" s="130">
        <f>1693635</f>
        <v>1693635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3659400</f>
        <v>3659400</v>
      </c>
      <c r="D65" s="138">
        <f>3040000</f>
        <v>3040000</v>
      </c>
      <c r="E65" s="138">
        <f>406374</f>
        <v>406374</v>
      </c>
      <c r="F65" s="138">
        <f>985634</f>
        <v>985634</v>
      </c>
      <c r="G65" s="138">
        <f>1061703</f>
        <v>1061703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3160952</f>
        <v>3160952</v>
      </c>
      <c r="D66" s="130">
        <f>3670600</f>
        <v>3670600</v>
      </c>
      <c r="E66" s="130">
        <f>781000</f>
        <v>781000</v>
      </c>
      <c r="F66" s="130">
        <f>1396900</f>
        <v>1396900</v>
      </c>
      <c r="G66" s="130">
        <f>1500000</f>
        <v>1500000</v>
      </c>
      <c r="H66" s="130">
        <f>1694000</f>
        <v>1694000</v>
      </c>
      <c r="I66" s="130">
        <f>1950000</f>
        <v>1950000</v>
      </c>
      <c r="J66" s="130">
        <f>2450000</f>
        <v>2450000</v>
      </c>
      <c r="K66" s="130">
        <f>500000</f>
        <v>500000</v>
      </c>
      <c r="L66" s="130">
        <f>2566576</f>
        <v>2566576</v>
      </c>
      <c r="M66" s="130">
        <f>1693635</f>
        <v>1693635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/>
  <pageMargins left="0.6299212598425197" right="0.31496062992125984" top="0.7086614173228347" bottom="0.3937007874015748" header="0.31496062992125984" footer="0.31496062992125984"/>
  <pageSetup blackAndWhite="1" fitToHeight="1" fitToWidth="1" horizontalDpi="600" verticalDpi="600" orientation="landscape" paperSize="8" scale="71" r:id="rId1"/>
  <headerFooter>
    <oddHeader>&amp;C&amp;16Wieloletnia Prognoza Finansowa Gminy Jedlnia-Letnisko na lata 2012-2022&amp;RZałącznik Nr 1
do Uchwały Nr XXII/112/2012
Rady Gminy
Jedlnia-Letnisko
z dnia 27 czerwca 2012</oddHeader>
  </headerFooter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0</v>
      </c>
      <c r="C7" s="196">
        <v>0</v>
      </c>
      <c r="D7" s="196">
        <v>0</v>
      </c>
      <c r="E7" s="188">
        <f>+Zal_1_WPF_uklad_budzetu!C7</f>
        <v>28407264.29</v>
      </c>
      <c r="F7" s="188">
        <f>+Zal_1_WPF_uklad_budzetu!D7</f>
        <v>29768833</v>
      </c>
      <c r="G7" s="188">
        <f>+Zal_1_WPF_uklad_budzetu!E7</f>
        <v>30279363</v>
      </c>
      <c r="H7" s="188">
        <f>+Zal_1_WPF_uklad_budzetu!F7</f>
        <v>31000274</v>
      </c>
      <c r="I7" s="188">
        <f>+Zal_1_WPF_uklad_budzetu!G7</f>
        <v>31983475</v>
      </c>
      <c r="J7" s="188">
        <f>+Zal_1_WPF_uklad_budzetu!H7</f>
        <v>32991479</v>
      </c>
      <c r="K7" s="188">
        <f>+Zal_1_WPF_uklad_budzetu!I7</f>
        <v>33878223</v>
      </c>
      <c r="L7" s="188">
        <f>+Zal_1_WPF_uklad_budzetu!J7</f>
        <v>34994570</v>
      </c>
      <c r="M7" s="188">
        <f>+Zal_1_WPF_uklad_budzetu!K7</f>
        <v>35241407</v>
      </c>
      <c r="N7" s="188">
        <f>+Zal_1_WPF_uklad_budzetu!L7</f>
        <v>37019649</v>
      </c>
      <c r="O7" s="188">
        <f>+Zal_1_WPF_uklad_budzetu!M7</f>
        <v>38130238</v>
      </c>
      <c r="P7" s="188">
        <f>+Zal_1_WPF_uklad_budzetu!N7</f>
        <v>0</v>
      </c>
      <c r="Q7" s="188">
        <f>+Zal_1_WPF_uklad_budzetu!O7</f>
        <v>0</v>
      </c>
      <c r="R7" s="188">
        <f>+Zal_1_WPF_uklad_budzetu!P7</f>
        <v>0</v>
      </c>
      <c r="S7" s="188">
        <f>+Zal_1_WPF_uklad_budzetu!Q7</f>
        <v>0</v>
      </c>
      <c r="T7" s="188">
        <f>+Zal_1_WPF_uklad_budzetu!R7</f>
        <v>0</v>
      </c>
      <c r="U7" s="188">
        <f>+Zal_1_WPF_uklad_budzetu!S7</f>
        <v>0</v>
      </c>
      <c r="V7" s="188">
        <f>+Zal_1_WPF_uklad_budzetu!T7</f>
        <v>0</v>
      </c>
      <c r="W7" s="188">
        <f>+Zal_1_WPF_uklad_budzetu!U7</f>
        <v>0</v>
      </c>
      <c r="X7" s="188">
        <f>+Zal_1_WPF_uklad_budzetu!V7</f>
        <v>0</v>
      </c>
      <c r="Y7" s="188">
        <f>+Zal_1_WPF_uklad_budzetu!W7</f>
        <v>0</v>
      </c>
      <c r="Z7" s="188">
        <f>+Zal_1_WPF_uklad_budzetu!X7</f>
        <v>0</v>
      </c>
      <c r="AA7" s="188">
        <f>+Zal_1_WPF_uklad_budzetu!Y7</f>
        <v>0</v>
      </c>
      <c r="AB7" s="188">
        <f>+Zal_1_WPF_uklad_budzetu!Z7</f>
        <v>0</v>
      </c>
      <c r="AC7" s="188">
        <f>+Zal_1_WPF_uklad_budzetu!AA7</f>
        <v>0</v>
      </c>
      <c r="AD7" s="188">
        <f>+Zal_1_WPF_uklad_budzetu!AB7</f>
        <v>0</v>
      </c>
      <c r="AE7" s="188">
        <f>+Zal_1_WPF_uklad_budzetu!AC7</f>
        <v>0</v>
      </c>
      <c r="AF7" s="188">
        <f>+Zal_1_WPF_uklad_budzetu!AD7</f>
        <v>0</v>
      </c>
      <c r="AG7" s="188">
        <f>+Zal_1_WPF_uklad_budzetu!AE7</f>
        <v>0</v>
      </c>
      <c r="AH7" s="188">
        <f>+Zal_1_WPF_uklad_budzetu!AF7</f>
        <v>0</v>
      </c>
      <c r="AI7" s="188">
        <f>+Zal_1_WPF_uklad_budzetu!AG7</f>
        <v>0</v>
      </c>
      <c r="AJ7" s="188">
        <f>+Zal_1_WPF_uklad_budzetu!AH7</f>
        <v>0</v>
      </c>
      <c r="AK7" s="188">
        <f>+Zal_1_WPF_uklad_budzetu!AI7</f>
        <v>0</v>
      </c>
      <c r="AL7" s="188">
        <f>+Zal_1_WPF_uklad_budzetu!AJ7</f>
        <v>0</v>
      </c>
      <c r="AM7" s="188">
        <f>+Zal_1_WPF_uklad_budzetu!AK7</f>
        <v>0</v>
      </c>
      <c r="AN7" s="188">
        <f>+Zal_1_WPF_uklad_budzetu!AL7</f>
        <v>0</v>
      </c>
      <c r="AO7" s="188">
        <f>+Zal_1_WPF_uklad_budzetu!AM7</f>
        <v>0</v>
      </c>
      <c r="AP7" s="188">
        <f>+Zal_1_WPF_uklad_budzetu!AN7</f>
        <v>0</v>
      </c>
      <c r="AQ7" s="188">
        <f>+Zal_1_WPF_uklad_budzetu!AO7</f>
        <v>0</v>
      </c>
    </row>
    <row r="8" spans="1:43" ht="14.25">
      <c r="A8" s="194" t="s">
        <v>206</v>
      </c>
      <c r="B8" s="215">
        <v>0</v>
      </c>
      <c r="C8" s="196">
        <v>0</v>
      </c>
      <c r="D8" s="196">
        <v>0</v>
      </c>
      <c r="E8" s="188">
        <f>+Zal_1_WPF_uklad_budzetu!C10</f>
        <v>0</v>
      </c>
      <c r="F8" s="188">
        <f>+Zal_1_WPF_uklad_budzetu!D10</f>
        <v>0</v>
      </c>
      <c r="G8" s="188">
        <f>+Zal_1_WPF_uklad_budzetu!E10</f>
        <v>0</v>
      </c>
      <c r="H8" s="188">
        <f>+Zal_1_WPF_uklad_budzetu!F10</f>
        <v>0</v>
      </c>
      <c r="I8" s="188">
        <f>+Zal_1_WPF_uklad_budzetu!G10</f>
        <v>0</v>
      </c>
      <c r="J8" s="188">
        <f>+Zal_1_WPF_uklad_budzetu!H10</f>
        <v>0</v>
      </c>
      <c r="K8" s="188">
        <f>+Zal_1_WPF_uklad_budzetu!I10</f>
        <v>0</v>
      </c>
      <c r="L8" s="188">
        <f>+Zal_1_WPF_uklad_budzetu!J10</f>
        <v>0</v>
      </c>
      <c r="M8" s="188">
        <f>+Zal_1_WPF_uklad_budzetu!K10</f>
        <v>0</v>
      </c>
      <c r="N8" s="188">
        <f>+Zal_1_WPF_uklad_budzetu!L10</f>
        <v>0</v>
      </c>
      <c r="O8" s="188">
        <f>+Zal_1_WPF_uklad_budzetu!M10</f>
        <v>0</v>
      </c>
      <c r="P8" s="188">
        <f>+Zal_1_WPF_uklad_budzetu!N10</f>
        <v>0</v>
      </c>
      <c r="Q8" s="188">
        <f>+Zal_1_WPF_uklad_budzetu!O10</f>
        <v>0</v>
      </c>
      <c r="R8" s="188">
        <f>+Zal_1_WPF_uklad_budzetu!P10</f>
        <v>0</v>
      </c>
      <c r="S8" s="188">
        <f>+Zal_1_WPF_uklad_budzetu!Q10</f>
        <v>0</v>
      </c>
      <c r="T8" s="188">
        <f>+Zal_1_WPF_uklad_budzetu!R10</f>
        <v>0</v>
      </c>
      <c r="U8" s="188">
        <f>+Zal_1_WPF_uklad_budzetu!S10</f>
        <v>0</v>
      </c>
      <c r="V8" s="188">
        <f>+Zal_1_WPF_uklad_budzetu!T10</f>
        <v>0</v>
      </c>
      <c r="W8" s="188">
        <f>+Zal_1_WPF_uklad_budzetu!U10</f>
        <v>0</v>
      </c>
      <c r="X8" s="188">
        <f>+Zal_1_WPF_uklad_budzetu!V10</f>
        <v>0</v>
      </c>
      <c r="Y8" s="188">
        <f>+Zal_1_WPF_uklad_budzetu!W10</f>
        <v>0</v>
      </c>
      <c r="Z8" s="188">
        <f>+Zal_1_WPF_uklad_budzetu!X10</f>
        <v>0</v>
      </c>
      <c r="AA8" s="188">
        <f>+Zal_1_WPF_uklad_budzetu!Y10</f>
        <v>0</v>
      </c>
      <c r="AB8" s="188">
        <f>+Zal_1_WPF_uklad_budzetu!Z10</f>
        <v>0</v>
      </c>
      <c r="AC8" s="188">
        <f>+Zal_1_WPF_uklad_budzetu!AA10</f>
        <v>0</v>
      </c>
      <c r="AD8" s="188">
        <f>+Zal_1_WPF_uklad_budzetu!AB10</f>
        <v>0</v>
      </c>
      <c r="AE8" s="188">
        <f>+Zal_1_WPF_uklad_budzetu!AC10</f>
        <v>0</v>
      </c>
      <c r="AF8" s="188">
        <f>+Zal_1_WPF_uklad_budzetu!AD10</f>
        <v>0</v>
      </c>
      <c r="AG8" s="188">
        <f>+Zal_1_WPF_uklad_budzetu!AE10</f>
        <v>0</v>
      </c>
      <c r="AH8" s="188">
        <f>+Zal_1_WPF_uklad_budzetu!AF10</f>
        <v>0</v>
      </c>
      <c r="AI8" s="188">
        <f>+Zal_1_WPF_uklad_budzetu!AG10</f>
        <v>0</v>
      </c>
      <c r="AJ8" s="188">
        <f>+Zal_1_WPF_uklad_budzetu!AH10</f>
        <v>0</v>
      </c>
      <c r="AK8" s="188">
        <f>+Zal_1_WPF_uklad_budzetu!AI10</f>
        <v>0</v>
      </c>
      <c r="AL8" s="188">
        <f>+Zal_1_WPF_uklad_budzetu!AJ10</f>
        <v>0</v>
      </c>
      <c r="AM8" s="188">
        <f>+Zal_1_WPF_uklad_budzetu!AK10</f>
        <v>0</v>
      </c>
      <c r="AN8" s="188">
        <f>+Zal_1_WPF_uklad_budzetu!AL10</f>
        <v>0</v>
      </c>
      <c r="AO8" s="188">
        <f>+Zal_1_WPF_uklad_budzetu!AM10</f>
        <v>0</v>
      </c>
      <c r="AP8" s="188">
        <f>+Zal_1_WPF_uklad_budzetu!AN10</f>
        <v>0</v>
      </c>
      <c r="AQ8" s="188">
        <f>+Zal_1_WPF_uklad_budzetu!AO10</f>
        <v>0</v>
      </c>
    </row>
    <row r="9" spans="1:43" ht="14.25">
      <c r="A9" s="194" t="s">
        <v>221</v>
      </c>
      <c r="B9" s="215">
        <v>0</v>
      </c>
      <c r="C9" s="196">
        <v>0</v>
      </c>
      <c r="D9" s="196">
        <v>0</v>
      </c>
      <c r="E9" s="188">
        <f>+Zal_1_WPF_uklad_budzetu!C13</f>
        <v>26636608.29</v>
      </c>
      <c r="F9" s="188">
        <f>+Zal_1_WPF_uklad_budzetu!D13</f>
        <v>27585233</v>
      </c>
      <c r="G9" s="188">
        <f>+Zal_1_WPF_uklad_budzetu!E13</f>
        <v>28351737</v>
      </c>
      <c r="H9" s="188">
        <f>+Zal_1_WPF_uklad_budzetu!F13</f>
        <v>29036008</v>
      </c>
      <c r="I9" s="188">
        <f>+Zal_1_WPF_uklad_budzetu!G13</f>
        <v>29788344</v>
      </c>
      <c r="J9" s="188">
        <f>+Zal_1_WPF_uklad_budzetu!H13</f>
        <v>30366241</v>
      </c>
      <c r="K9" s="188">
        <f>+Zal_1_WPF_uklad_budzetu!I13</f>
        <v>31221747</v>
      </c>
      <c r="L9" s="188">
        <f>+Zal_1_WPF_uklad_budzetu!J13</f>
        <v>31702291</v>
      </c>
      <c r="M9" s="188">
        <f>+Zal_1_WPF_uklad_budzetu!K13</f>
        <v>33131348</v>
      </c>
      <c r="N9" s="188">
        <f>+Zal_1_WPF_uklad_budzetu!L13</f>
        <v>33556802</v>
      </c>
      <c r="O9" s="188">
        <f>+Zal_1_WPF_uklad_budzetu!M13</f>
        <v>34328608</v>
      </c>
      <c r="P9" s="188">
        <f>+Zal_1_WPF_uklad_budzetu!N13</f>
        <v>0</v>
      </c>
      <c r="Q9" s="188">
        <f>+Zal_1_WPF_uklad_budzetu!O13</f>
        <v>0</v>
      </c>
      <c r="R9" s="188">
        <f>+Zal_1_WPF_uklad_budzetu!P13</f>
        <v>0</v>
      </c>
      <c r="S9" s="188">
        <f>+Zal_1_WPF_uklad_budzetu!Q13</f>
        <v>0</v>
      </c>
      <c r="T9" s="188">
        <f>+Zal_1_WPF_uklad_budzetu!R13</f>
        <v>0</v>
      </c>
      <c r="U9" s="188">
        <f>+Zal_1_WPF_uklad_budzetu!S13</f>
        <v>0</v>
      </c>
      <c r="V9" s="188">
        <f>+Zal_1_WPF_uklad_budzetu!T13</f>
        <v>0</v>
      </c>
      <c r="W9" s="188">
        <f>+Zal_1_WPF_uklad_budzetu!U13</f>
        <v>0</v>
      </c>
      <c r="X9" s="188">
        <f>+Zal_1_WPF_uklad_budzetu!V13</f>
        <v>0</v>
      </c>
      <c r="Y9" s="188">
        <f>+Zal_1_WPF_uklad_budzetu!W13</f>
        <v>0</v>
      </c>
      <c r="Z9" s="188">
        <f>+Zal_1_WPF_uklad_budzetu!X13</f>
        <v>0</v>
      </c>
      <c r="AA9" s="188">
        <f>+Zal_1_WPF_uklad_budzetu!Y13</f>
        <v>0</v>
      </c>
      <c r="AB9" s="188">
        <f>+Zal_1_WPF_uklad_budzetu!Z13</f>
        <v>0</v>
      </c>
      <c r="AC9" s="188">
        <f>+Zal_1_WPF_uklad_budzetu!AA13</f>
        <v>0</v>
      </c>
      <c r="AD9" s="188">
        <f>+Zal_1_WPF_uklad_budzetu!AB13</f>
        <v>0</v>
      </c>
      <c r="AE9" s="188">
        <f>+Zal_1_WPF_uklad_budzetu!AC13</f>
        <v>0</v>
      </c>
      <c r="AF9" s="188">
        <f>+Zal_1_WPF_uklad_budzetu!AD13</f>
        <v>0</v>
      </c>
      <c r="AG9" s="188">
        <f>+Zal_1_WPF_uklad_budzetu!AE13</f>
        <v>0</v>
      </c>
      <c r="AH9" s="188">
        <f>+Zal_1_WPF_uklad_budzetu!AF13</f>
        <v>0</v>
      </c>
      <c r="AI9" s="188">
        <f>+Zal_1_WPF_uklad_budzetu!AG13</f>
        <v>0</v>
      </c>
      <c r="AJ9" s="188">
        <f>+Zal_1_WPF_uklad_budzetu!AH13</f>
        <v>0</v>
      </c>
      <c r="AK9" s="188">
        <f>+Zal_1_WPF_uklad_budzetu!AI13</f>
        <v>0</v>
      </c>
      <c r="AL9" s="188">
        <f>+Zal_1_WPF_uklad_budzetu!AJ13</f>
        <v>0</v>
      </c>
      <c r="AM9" s="188">
        <f>+Zal_1_WPF_uklad_budzetu!AK13</f>
        <v>0</v>
      </c>
      <c r="AN9" s="188">
        <f>+Zal_1_WPF_uklad_budzetu!AL13</f>
        <v>0</v>
      </c>
      <c r="AO9" s="188">
        <f>+Zal_1_WPF_uklad_budzetu!AM13</f>
        <v>0</v>
      </c>
      <c r="AP9" s="188">
        <f>+Zal_1_WPF_uklad_budzetu!AN13</f>
        <v>0</v>
      </c>
      <c r="AQ9" s="188">
        <f>+Zal_1_WPF_uklad_budzetu!AO13</f>
        <v>0</v>
      </c>
    </row>
    <row r="10" spans="1:43" ht="14.25">
      <c r="A10" s="195" t="s">
        <v>207</v>
      </c>
      <c r="B10" s="215">
        <f>+B7+B8-B9</f>
        <v>0</v>
      </c>
      <c r="C10" s="215">
        <f>+C7+C8-C9</f>
        <v>0</v>
      </c>
      <c r="D10" s="215">
        <f>+D7+D8-D9</f>
        <v>0</v>
      </c>
      <c r="E10" s="196">
        <f>+E7-E9+E8</f>
        <v>1770656</v>
      </c>
      <c r="F10" s="196">
        <f aca="true" t="shared" si="0" ref="F10:AQ10">+F7-F9+F8</f>
        <v>2183600</v>
      </c>
      <c r="G10" s="196">
        <f t="shared" si="0"/>
        <v>1927626</v>
      </c>
      <c r="H10" s="196">
        <f t="shared" si="0"/>
        <v>1964266</v>
      </c>
      <c r="I10" s="196">
        <f t="shared" si="0"/>
        <v>2195131</v>
      </c>
      <c r="J10" s="196">
        <f t="shared" si="0"/>
        <v>2625238</v>
      </c>
      <c r="K10" s="196">
        <f t="shared" si="0"/>
        <v>2656476</v>
      </c>
      <c r="L10" s="196">
        <f t="shared" si="0"/>
        <v>3292279</v>
      </c>
      <c r="M10" s="196">
        <f t="shared" si="0"/>
        <v>2110059</v>
      </c>
      <c r="N10" s="196">
        <f t="shared" si="0"/>
        <v>3462847</v>
      </c>
      <c r="O10" s="196">
        <f t="shared" si="0"/>
        <v>3801630</v>
      </c>
      <c r="P10" s="196">
        <f t="shared" si="0"/>
        <v>0</v>
      </c>
      <c r="Q10" s="196">
        <f t="shared" si="0"/>
        <v>0</v>
      </c>
      <c r="R10" s="196">
        <f t="shared" si="0"/>
        <v>0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 ht="14.25">
      <c r="A11" s="197" t="s">
        <v>222</v>
      </c>
      <c r="B11" s="215">
        <v>0</v>
      </c>
      <c r="C11" s="196">
        <v>0</v>
      </c>
      <c r="D11" s="196">
        <v>0</v>
      </c>
      <c r="E11" s="188">
        <f>+Zal_1_WPF_uklad_budzetu!C6</f>
        <v>31778888.29</v>
      </c>
      <c r="F11" s="188">
        <f>+Zal_1_WPF_uklad_budzetu!D6</f>
        <v>31283833</v>
      </c>
      <c r="G11" s="188">
        <f>+Zal_1_WPF_uklad_budzetu!E6</f>
        <v>31794363</v>
      </c>
      <c r="H11" s="188">
        <f>+Zal_1_WPF_uklad_budzetu!F6</f>
        <v>32515274</v>
      </c>
      <c r="I11" s="188">
        <f>+Zal_1_WPF_uklad_budzetu!G6</f>
        <v>33598788</v>
      </c>
      <c r="J11" s="188">
        <f>+Zal_1_WPF_uklad_budzetu!H6</f>
        <v>32991479</v>
      </c>
      <c r="K11" s="188">
        <f>+Zal_1_WPF_uklad_budzetu!I6</f>
        <v>33878223</v>
      </c>
      <c r="L11" s="188">
        <f>+Zal_1_WPF_uklad_budzetu!J6</f>
        <v>34994570</v>
      </c>
      <c r="M11" s="188">
        <f>+Zal_1_WPF_uklad_budzetu!K6</f>
        <v>35241407</v>
      </c>
      <c r="N11" s="188">
        <f>+Zal_1_WPF_uklad_budzetu!L6</f>
        <v>37019649</v>
      </c>
      <c r="O11" s="188">
        <f>+Zal_1_WPF_uklad_budzetu!M6</f>
        <v>38130238</v>
      </c>
      <c r="P11" s="188">
        <f>+Zal_1_WPF_uklad_budzetu!N6</f>
        <v>0</v>
      </c>
      <c r="Q11" s="188">
        <f>+Zal_1_WPF_uklad_budzetu!O6</f>
        <v>0</v>
      </c>
      <c r="R11" s="188">
        <f>+Zal_1_WPF_uklad_budzetu!P6</f>
        <v>0</v>
      </c>
      <c r="S11" s="188">
        <f>+Zal_1_WPF_uklad_budzetu!Q6</f>
        <v>0</v>
      </c>
      <c r="T11" s="188">
        <f>+Zal_1_WPF_uklad_budzetu!R6</f>
        <v>0</v>
      </c>
      <c r="U11" s="188">
        <f>+Zal_1_WPF_uklad_budzetu!S6</f>
        <v>0</v>
      </c>
      <c r="V11" s="188">
        <f>+Zal_1_WPF_uklad_budzetu!T6</f>
        <v>0</v>
      </c>
      <c r="W11" s="188">
        <f>+Zal_1_WPF_uklad_budzetu!U6</f>
        <v>0</v>
      </c>
      <c r="X11" s="188">
        <f>+Zal_1_WPF_uklad_budzetu!V6</f>
        <v>0</v>
      </c>
      <c r="Y11" s="188">
        <f>+Zal_1_WPF_uklad_budzetu!W6</f>
        <v>0</v>
      </c>
      <c r="Z11" s="188">
        <f>+Zal_1_WPF_uklad_budzetu!X6</f>
        <v>0</v>
      </c>
      <c r="AA11" s="188">
        <f>+Zal_1_WPF_uklad_budzetu!Y6</f>
        <v>0</v>
      </c>
      <c r="AB11" s="188">
        <f>+Zal_1_WPF_uklad_budzetu!Z6</f>
        <v>0</v>
      </c>
      <c r="AC11" s="188">
        <f>+Zal_1_WPF_uklad_budzetu!AA6</f>
        <v>0</v>
      </c>
      <c r="AD11" s="188">
        <f>+Zal_1_WPF_uklad_budzetu!AB6</f>
        <v>0</v>
      </c>
      <c r="AE11" s="188">
        <f>+Zal_1_WPF_uklad_budzetu!AC6</f>
        <v>0</v>
      </c>
      <c r="AF11" s="188">
        <f>+Zal_1_WPF_uklad_budzetu!AD6</f>
        <v>0</v>
      </c>
      <c r="AG11" s="188">
        <f>+Zal_1_WPF_uklad_budzetu!AE6</f>
        <v>0</v>
      </c>
      <c r="AH11" s="188">
        <f>+Zal_1_WPF_uklad_budzetu!AF6</f>
        <v>0</v>
      </c>
      <c r="AI11" s="188">
        <f>+Zal_1_WPF_uklad_budzetu!AG6</f>
        <v>0</v>
      </c>
      <c r="AJ11" s="188">
        <f>+Zal_1_WPF_uklad_budzetu!AH6</f>
        <v>0</v>
      </c>
      <c r="AK11" s="188">
        <f>+Zal_1_WPF_uklad_budzetu!AI6</f>
        <v>0</v>
      </c>
      <c r="AL11" s="188">
        <f>+Zal_1_WPF_uklad_budzetu!AJ6</f>
        <v>0</v>
      </c>
      <c r="AM11" s="188">
        <f>+Zal_1_WPF_uklad_budzetu!AK6</f>
        <v>0</v>
      </c>
      <c r="AN11" s="188">
        <f>+Zal_1_WPF_uklad_budzetu!AL6</f>
        <v>0</v>
      </c>
      <c r="AO11" s="188">
        <f>+Zal_1_WPF_uklad_budzetu!AM6</f>
        <v>0</v>
      </c>
      <c r="AP11" s="188">
        <f>+Zal_1_WPF_uklad_budzetu!AN6</f>
        <v>0</v>
      </c>
      <c r="AQ11" s="188">
        <f>+Zal_1_WPF_uklad_budzetu!AO6</f>
        <v>0</v>
      </c>
    </row>
    <row r="12" spans="1:43" ht="14.25">
      <c r="A12" s="195" t="s">
        <v>219</v>
      </c>
      <c r="B12" s="182"/>
      <c r="C12" s="189"/>
      <c r="D12" s="189"/>
      <c r="E12" s="189">
        <f>+IF(E11&lt;&gt;0,E10/E11,0)</f>
        <v>0.05571799692430336</v>
      </c>
      <c r="F12" s="189">
        <f aca="true" t="shared" si="1" ref="F12:AQ12">+IF(F11&lt;&gt;0,F10/F11,0)</f>
        <v>0.06979963101068849</v>
      </c>
      <c r="G12" s="189">
        <f t="shared" si="1"/>
        <v>0.06062791696754547</v>
      </c>
      <c r="H12" s="189">
        <f t="shared" si="1"/>
        <v>0.06041056274045238</v>
      </c>
      <c r="I12" s="189">
        <f t="shared" si="1"/>
        <v>0.0653336364395049</v>
      </c>
      <c r="J12" s="189">
        <f t="shared" si="1"/>
        <v>0.07957321343489936</v>
      </c>
      <c r="K12" s="189">
        <f t="shared" si="1"/>
        <v>0.07841249524805359</v>
      </c>
      <c r="L12" s="189">
        <f t="shared" si="1"/>
        <v>0.09407971008073539</v>
      </c>
      <c r="M12" s="189">
        <f t="shared" si="1"/>
        <v>0.05987442555854822</v>
      </c>
      <c r="N12" s="189">
        <f t="shared" si="1"/>
        <v>0.09354078424676582</v>
      </c>
      <c r="O12" s="189">
        <f t="shared" si="1"/>
        <v>0.09970118728343631</v>
      </c>
      <c r="P12" s="189">
        <f t="shared" si="1"/>
        <v>0</v>
      </c>
      <c r="Q12" s="189">
        <f t="shared" si="1"/>
        <v>0</v>
      </c>
      <c r="R12" s="189">
        <f t="shared" si="1"/>
        <v>0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 ht="14.25">
      <c r="A13" s="198" t="s">
        <v>208</v>
      </c>
      <c r="B13" s="224" t="s">
        <v>209</v>
      </c>
      <c r="C13" s="225"/>
      <c r="D13" s="226"/>
      <c r="E13" s="213">
        <f aca="true" t="shared" si="2" ref="E13:AQ13">+SUM(B12:D12)/3</f>
        <v>0</v>
      </c>
      <c r="F13" s="213">
        <f t="shared" si="2"/>
        <v>0.018572665641434453</v>
      </c>
      <c r="G13" s="213">
        <f t="shared" si="2"/>
        <v>0.041839209311663954</v>
      </c>
      <c r="H13" s="213">
        <f t="shared" si="2"/>
        <v>0.06204851496751244</v>
      </c>
      <c r="I13" s="213">
        <f t="shared" si="2"/>
        <v>0.06361270357289545</v>
      </c>
      <c r="J13" s="213">
        <f t="shared" si="2"/>
        <v>0.06212403871583425</v>
      </c>
      <c r="K13" s="213">
        <f t="shared" si="2"/>
        <v>0.06843913753828555</v>
      </c>
      <c r="L13" s="213">
        <f t="shared" si="2"/>
        <v>0.07443978170748596</v>
      </c>
      <c r="M13" s="213">
        <f t="shared" si="2"/>
        <v>0.08402180625456278</v>
      </c>
      <c r="N13" s="213">
        <f t="shared" si="2"/>
        <v>0.0774555436291124</v>
      </c>
      <c r="O13" s="213">
        <f t="shared" si="2"/>
        <v>0.08249830662868314</v>
      </c>
      <c r="P13" s="213">
        <f t="shared" si="2"/>
        <v>0.08437213236291678</v>
      </c>
      <c r="Q13" s="213">
        <f t="shared" si="2"/>
        <v>0.06441399051006737</v>
      </c>
      <c r="R13" s="213">
        <f t="shared" si="2"/>
        <v>0.03323372909447877</v>
      </c>
      <c r="S13" s="213">
        <f t="shared" si="2"/>
        <v>0</v>
      </c>
      <c r="T13" s="213">
        <f t="shared" si="2"/>
        <v>0</v>
      </c>
      <c r="U13" s="213">
        <f t="shared" si="2"/>
        <v>0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+Zal_1_WPF_uklad_budzetu!C44</f>
        <v>0.0931</v>
      </c>
      <c r="F14" s="212">
        <f>+Zal_1_WPF_uklad_budzetu!D44</f>
        <v>0.0573</v>
      </c>
      <c r="G14" s="212">
        <f>+Zal_1_WPF_uklad_budzetu!E44</f>
        <v>0.0453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3" t="s">
        <v>212</v>
      </c>
      <c r="C16" s="233"/>
      <c r="D16" s="234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7" t="s">
        <v>209</v>
      </c>
      <c r="C17" s="227"/>
      <c r="D17" s="228"/>
      <c r="E17" s="202">
        <f>+Zal_1_WPF_uklad_budzetu!C33</f>
        <v>3160952</v>
      </c>
      <c r="F17" s="202">
        <f>+Zal_1_WPF_uklad_budzetu!D33</f>
        <v>3670600</v>
      </c>
      <c r="G17" s="202">
        <f>+Zal_1_WPF_uklad_budzetu!E33</f>
        <v>781000</v>
      </c>
      <c r="H17" s="202">
        <f>+Zal_1_WPF_uklad_budzetu!F33</f>
        <v>1396900</v>
      </c>
      <c r="I17" s="202">
        <f>+Zal_1_WPF_uklad_budzetu!G33</f>
        <v>1500000</v>
      </c>
      <c r="J17" s="202">
        <f>+Zal_1_WPF_uklad_budzetu!H33</f>
        <v>1694000</v>
      </c>
      <c r="K17" s="202">
        <f>+Zal_1_WPF_uklad_budzetu!I33</f>
        <v>1950000</v>
      </c>
      <c r="L17" s="202">
        <f>+Zal_1_WPF_uklad_budzetu!J33</f>
        <v>2450000</v>
      </c>
      <c r="M17" s="202">
        <f>+Zal_1_WPF_uklad_budzetu!K33</f>
        <v>500000</v>
      </c>
      <c r="N17" s="202">
        <f>+Zal_1_WPF_uklad_budzetu!L33</f>
        <v>2566576</v>
      </c>
      <c r="O17" s="202">
        <f>+Zal_1_WPF_uklad_budzetu!M33</f>
        <v>1693635</v>
      </c>
      <c r="P17" s="202">
        <f>+Zal_1_WPF_uklad_budzetu!N33</f>
        <v>0</v>
      </c>
      <c r="Q17" s="202">
        <f>+Zal_1_WPF_uklad_budzetu!O33</f>
        <v>0</v>
      </c>
      <c r="R17" s="202">
        <f>+Zal_1_WPF_uklad_budzetu!P33</f>
        <v>0</v>
      </c>
      <c r="S17" s="202">
        <f>+Zal_1_WPF_uklad_budzetu!Q33</f>
        <v>0</v>
      </c>
      <c r="T17" s="202">
        <f>+Zal_1_WPF_uklad_budzetu!R33</f>
        <v>0</v>
      </c>
      <c r="U17" s="202">
        <f>+Zal_1_WPF_uklad_budzetu!S33</f>
        <v>0</v>
      </c>
      <c r="V17" s="202">
        <f>+Zal_1_WPF_uklad_budzetu!T33</f>
        <v>0</v>
      </c>
      <c r="W17" s="202">
        <f>+Zal_1_WPF_uklad_budzetu!U33</f>
        <v>0</v>
      </c>
      <c r="X17" s="202">
        <f>+Zal_1_WPF_uklad_budzetu!V33</f>
        <v>0</v>
      </c>
      <c r="Y17" s="202">
        <f>+Zal_1_WPF_uklad_budzetu!W33</f>
        <v>0</v>
      </c>
      <c r="Z17" s="202">
        <f>+Zal_1_WPF_uklad_budzetu!X33</f>
        <v>0</v>
      </c>
      <c r="AA17" s="202">
        <f>+Zal_1_WPF_uklad_budzetu!Y33</f>
        <v>0</v>
      </c>
      <c r="AB17" s="202">
        <f>+Zal_1_WPF_uklad_budzetu!Z33</f>
        <v>0</v>
      </c>
      <c r="AC17" s="202">
        <f>+Zal_1_WPF_uklad_budzetu!AA33</f>
        <v>0</v>
      </c>
      <c r="AD17" s="202">
        <f>+Zal_1_WPF_uklad_budzetu!AB33</f>
        <v>0</v>
      </c>
      <c r="AE17" s="202">
        <f>+Zal_1_WPF_uklad_budzetu!AC33</f>
        <v>0</v>
      </c>
      <c r="AF17" s="202">
        <f>+Zal_1_WPF_uklad_budzetu!AD33</f>
        <v>0</v>
      </c>
      <c r="AG17" s="202">
        <f>+Zal_1_WPF_uklad_budzetu!AE33</f>
        <v>0</v>
      </c>
      <c r="AH17" s="202">
        <f>+Zal_1_WPF_uklad_budzetu!AF33</f>
        <v>0</v>
      </c>
      <c r="AI17" s="202">
        <f>+Zal_1_WPF_uklad_budzetu!AG33</f>
        <v>0</v>
      </c>
      <c r="AJ17" s="202">
        <f>+Zal_1_WPF_uklad_budzetu!AH33</f>
        <v>0</v>
      </c>
      <c r="AK17" s="202">
        <f>+Zal_1_WPF_uklad_budzetu!AI33</f>
        <v>0</v>
      </c>
      <c r="AL17" s="202">
        <f>+Zal_1_WPF_uklad_budzetu!AJ33</f>
        <v>0</v>
      </c>
      <c r="AM17" s="202">
        <f>+Zal_1_WPF_uklad_budzetu!AK33</f>
        <v>0</v>
      </c>
      <c r="AN17" s="202">
        <f>+Zal_1_WPF_uklad_budzetu!AL33</f>
        <v>0</v>
      </c>
      <c r="AO17" s="202">
        <f>+Zal_1_WPF_uklad_budzetu!AM33</f>
        <v>0</v>
      </c>
      <c r="AP17" s="202">
        <f>+Zal_1_WPF_uklad_budzetu!AN33</f>
        <v>0</v>
      </c>
      <c r="AQ17" s="202">
        <f>+Zal_1_WPF_uklad_budzetu!AO33</f>
        <v>0</v>
      </c>
    </row>
    <row r="18" spans="1:43" ht="14.25">
      <c r="A18" s="203" t="s">
        <v>220</v>
      </c>
      <c r="B18" s="229"/>
      <c r="C18" s="229"/>
      <c r="D18" s="230"/>
      <c r="E18" s="188">
        <f>+Zal_1_WPF_uklad_budzetu!C19</f>
        <v>600000</v>
      </c>
      <c r="F18" s="188">
        <f>+Zal_1_WPF_uklad_budzetu!D19</f>
        <v>710000</v>
      </c>
      <c r="G18" s="188">
        <f>+Zal_1_WPF_uklad_budzetu!E19</f>
        <v>600000</v>
      </c>
      <c r="H18" s="188">
        <f>+Zal_1_WPF_uklad_budzetu!F19</f>
        <v>530000</v>
      </c>
      <c r="I18" s="188">
        <f>+Zal_1_WPF_uklad_budzetu!G19</f>
        <v>490000</v>
      </c>
      <c r="J18" s="188">
        <f>+Zal_1_WPF_uklad_budzetu!H19</f>
        <v>350000</v>
      </c>
      <c r="K18" s="188">
        <f>+Zal_1_WPF_uklad_budzetu!I19</f>
        <v>250000</v>
      </c>
      <c r="L18" s="188">
        <f>+Zal_1_WPF_uklad_budzetu!J19</f>
        <v>120000</v>
      </c>
      <c r="M18" s="188">
        <f>+Zal_1_WPF_uklad_budzetu!K19</f>
        <v>216400</v>
      </c>
      <c r="N18" s="188">
        <f>+Zal_1_WPF_uklad_budzetu!L19</f>
        <v>130000</v>
      </c>
      <c r="O18" s="188">
        <f>+Zal_1_WPF_uklad_budzetu!M19</f>
        <v>120000</v>
      </c>
      <c r="P18" s="188">
        <f>+Zal_1_WPF_uklad_budzetu!N19</f>
        <v>0</v>
      </c>
      <c r="Q18" s="188">
        <f>+Zal_1_WPF_uklad_budzetu!O19</f>
        <v>0</v>
      </c>
      <c r="R18" s="188">
        <f>+Zal_1_WPF_uklad_budzetu!P19</f>
        <v>0</v>
      </c>
      <c r="S18" s="188">
        <f>+Zal_1_WPF_uklad_budzetu!Q19</f>
        <v>0</v>
      </c>
      <c r="T18" s="188">
        <f>+Zal_1_WPF_uklad_budzetu!R19</f>
        <v>0</v>
      </c>
      <c r="U18" s="188">
        <f>+Zal_1_WPF_uklad_budzetu!S19</f>
        <v>0</v>
      </c>
      <c r="V18" s="188">
        <f>+Zal_1_WPF_uklad_budzetu!T19</f>
        <v>0</v>
      </c>
      <c r="W18" s="188">
        <f>+Zal_1_WPF_uklad_budzetu!U19</f>
        <v>0</v>
      </c>
      <c r="X18" s="188">
        <f>+Zal_1_WPF_uklad_budzetu!V19</f>
        <v>0</v>
      </c>
      <c r="Y18" s="188">
        <f>+Zal_1_WPF_uklad_budzetu!W19</f>
        <v>0</v>
      </c>
      <c r="Z18" s="188">
        <f>+Zal_1_WPF_uklad_budzetu!X19</f>
        <v>0</v>
      </c>
      <c r="AA18" s="188">
        <f>+Zal_1_WPF_uklad_budzetu!Y19</f>
        <v>0</v>
      </c>
      <c r="AB18" s="188">
        <f>+Zal_1_WPF_uklad_budzetu!Z19</f>
        <v>0</v>
      </c>
      <c r="AC18" s="188">
        <f>+Zal_1_WPF_uklad_budzetu!AA19</f>
        <v>0</v>
      </c>
      <c r="AD18" s="188">
        <f>+Zal_1_WPF_uklad_budzetu!AB19</f>
        <v>0</v>
      </c>
      <c r="AE18" s="188">
        <f>+Zal_1_WPF_uklad_budzetu!AC19</f>
        <v>0</v>
      </c>
      <c r="AF18" s="188">
        <f>+Zal_1_WPF_uklad_budzetu!AD19</f>
        <v>0</v>
      </c>
      <c r="AG18" s="188">
        <f>+Zal_1_WPF_uklad_budzetu!AE19</f>
        <v>0</v>
      </c>
      <c r="AH18" s="188">
        <f>+Zal_1_WPF_uklad_budzetu!AF19</f>
        <v>0</v>
      </c>
      <c r="AI18" s="188">
        <f>+Zal_1_WPF_uklad_budzetu!AG19</f>
        <v>0</v>
      </c>
      <c r="AJ18" s="188">
        <f>+Zal_1_WPF_uklad_budzetu!AH19</f>
        <v>0</v>
      </c>
      <c r="AK18" s="188">
        <f>+Zal_1_WPF_uklad_budzetu!AI19</f>
        <v>0</v>
      </c>
      <c r="AL18" s="188">
        <f>+Zal_1_WPF_uklad_budzetu!AJ19</f>
        <v>0</v>
      </c>
      <c r="AM18" s="188">
        <f>+Zal_1_WPF_uklad_budzetu!AK19</f>
        <v>0</v>
      </c>
      <c r="AN18" s="188">
        <f>+Zal_1_WPF_uklad_budzetu!AL19</f>
        <v>0</v>
      </c>
      <c r="AO18" s="188">
        <f>+Zal_1_WPF_uklad_budzetu!AM19</f>
        <v>0</v>
      </c>
      <c r="AP18" s="188">
        <f>+Zal_1_WPF_uklad_budzetu!AN19</f>
        <v>0</v>
      </c>
      <c r="AQ18" s="188">
        <f>+Zal_1_WPF_uklad_budzetu!AO19</f>
        <v>0</v>
      </c>
    </row>
    <row r="19" spans="1:43" ht="14.25">
      <c r="A19" s="203" t="s">
        <v>214</v>
      </c>
      <c r="B19" s="229"/>
      <c r="C19" s="229"/>
      <c r="D19" s="230"/>
      <c r="E19" s="188">
        <f>+Zal_1_WPF_uklad_budzetu!C16</f>
        <v>0</v>
      </c>
      <c r="F19" s="188">
        <f>+Zal_1_WPF_uklad_budzetu!D16</f>
        <v>0</v>
      </c>
      <c r="G19" s="188">
        <f>+Zal_1_WPF_uklad_budzetu!E16</f>
        <v>0</v>
      </c>
      <c r="H19" s="188">
        <f>+Zal_1_WPF_uklad_budzetu!F16</f>
        <v>0</v>
      </c>
      <c r="I19" s="188">
        <f>+Zal_1_WPF_uklad_budzetu!G16</f>
        <v>0</v>
      </c>
      <c r="J19" s="188">
        <f>+Zal_1_WPF_uklad_budzetu!H16</f>
        <v>0</v>
      </c>
      <c r="K19" s="188">
        <f>+Zal_1_WPF_uklad_budzetu!I16</f>
        <v>0</v>
      </c>
      <c r="L19" s="188">
        <f>+Zal_1_WPF_uklad_budzetu!J16</f>
        <v>0</v>
      </c>
      <c r="M19" s="188">
        <f>+Zal_1_WPF_uklad_budzetu!K16</f>
        <v>0</v>
      </c>
      <c r="N19" s="188">
        <f>+Zal_1_WPF_uklad_budzetu!L16</f>
        <v>0</v>
      </c>
      <c r="O19" s="188">
        <f>+Zal_1_WPF_uklad_budzetu!M16</f>
        <v>0</v>
      </c>
      <c r="P19" s="188">
        <f>+Zal_1_WPF_uklad_budzetu!N16</f>
        <v>0</v>
      </c>
      <c r="Q19" s="188">
        <f>+Zal_1_WPF_uklad_budzetu!O16</f>
        <v>0</v>
      </c>
      <c r="R19" s="188">
        <f>+Zal_1_WPF_uklad_budzetu!P16</f>
        <v>0</v>
      </c>
      <c r="S19" s="188">
        <f>+Zal_1_WPF_uklad_budzetu!Q16</f>
        <v>0</v>
      </c>
      <c r="T19" s="188">
        <f>+Zal_1_WPF_uklad_budzetu!R16</f>
        <v>0</v>
      </c>
      <c r="U19" s="188">
        <f>+Zal_1_WPF_uklad_budzetu!S16</f>
        <v>0</v>
      </c>
      <c r="V19" s="188">
        <f>+Zal_1_WPF_uklad_budzetu!T16</f>
        <v>0</v>
      </c>
      <c r="W19" s="188">
        <f>+Zal_1_WPF_uklad_budzetu!U16</f>
        <v>0</v>
      </c>
      <c r="X19" s="188">
        <f>+Zal_1_WPF_uklad_budzetu!V16</f>
        <v>0</v>
      </c>
      <c r="Y19" s="188">
        <f>+Zal_1_WPF_uklad_budzetu!W16</f>
        <v>0</v>
      </c>
      <c r="Z19" s="188">
        <f>+Zal_1_WPF_uklad_budzetu!X16</f>
        <v>0</v>
      </c>
      <c r="AA19" s="188">
        <f>+Zal_1_WPF_uklad_budzetu!Y16</f>
        <v>0</v>
      </c>
      <c r="AB19" s="188">
        <f>+Zal_1_WPF_uklad_budzetu!Z16</f>
        <v>0</v>
      </c>
      <c r="AC19" s="188">
        <f>+Zal_1_WPF_uklad_budzetu!AA16</f>
        <v>0</v>
      </c>
      <c r="AD19" s="188">
        <f>+Zal_1_WPF_uklad_budzetu!AB16</f>
        <v>0</v>
      </c>
      <c r="AE19" s="188">
        <f>+Zal_1_WPF_uklad_budzetu!AC16</f>
        <v>0</v>
      </c>
      <c r="AF19" s="188">
        <f>+Zal_1_WPF_uklad_budzetu!AD16</f>
        <v>0</v>
      </c>
      <c r="AG19" s="188">
        <f>+Zal_1_WPF_uklad_budzetu!AE16</f>
        <v>0</v>
      </c>
      <c r="AH19" s="188">
        <f>+Zal_1_WPF_uklad_budzetu!AF16</f>
        <v>0</v>
      </c>
      <c r="AI19" s="188">
        <f>+Zal_1_WPF_uklad_budzetu!AG16</f>
        <v>0</v>
      </c>
      <c r="AJ19" s="188">
        <f>+Zal_1_WPF_uklad_budzetu!AH16</f>
        <v>0</v>
      </c>
      <c r="AK19" s="188">
        <f>+Zal_1_WPF_uklad_budzetu!AI16</f>
        <v>0</v>
      </c>
      <c r="AL19" s="188">
        <f>+Zal_1_WPF_uklad_budzetu!AJ16</f>
        <v>0</v>
      </c>
      <c r="AM19" s="188">
        <f>+Zal_1_WPF_uklad_budzetu!AK16</f>
        <v>0</v>
      </c>
      <c r="AN19" s="188">
        <f>+Zal_1_WPF_uklad_budzetu!AL16</f>
        <v>0</v>
      </c>
      <c r="AO19" s="188">
        <f>+Zal_1_WPF_uklad_budzetu!AM16</f>
        <v>0</v>
      </c>
      <c r="AP19" s="188">
        <f>+Zal_1_WPF_uklad_budzetu!AN16</f>
        <v>0</v>
      </c>
      <c r="AQ19" s="188">
        <f>+Zal_1_WPF_uklad_budzetu!AO16</f>
        <v>0</v>
      </c>
    </row>
    <row r="20" spans="1:43" ht="15" thickBot="1">
      <c r="A20" s="204" t="s">
        <v>215</v>
      </c>
      <c r="B20" s="229"/>
      <c r="C20" s="229"/>
      <c r="D20" s="230"/>
      <c r="E20" s="205">
        <f>+SUM(E17:E19)</f>
        <v>3760952</v>
      </c>
      <c r="F20" s="205">
        <f aca="true" t="shared" si="3" ref="F20:AQ20">+SUM(F17:F19)</f>
        <v>4380600</v>
      </c>
      <c r="G20" s="205">
        <f t="shared" si="3"/>
        <v>1381000</v>
      </c>
      <c r="H20" s="205">
        <f t="shared" si="3"/>
        <v>1926900</v>
      </c>
      <c r="I20" s="205">
        <f t="shared" si="3"/>
        <v>1990000</v>
      </c>
      <c r="J20" s="205">
        <f t="shared" si="3"/>
        <v>2044000</v>
      </c>
      <c r="K20" s="205">
        <f t="shared" si="3"/>
        <v>2200000</v>
      </c>
      <c r="L20" s="205">
        <f t="shared" si="3"/>
        <v>2570000</v>
      </c>
      <c r="M20" s="205">
        <f t="shared" si="3"/>
        <v>716400</v>
      </c>
      <c r="N20" s="205">
        <f t="shared" si="3"/>
        <v>2696576</v>
      </c>
      <c r="O20" s="205">
        <f t="shared" si="3"/>
        <v>1813635</v>
      </c>
      <c r="P20" s="205">
        <f t="shared" si="3"/>
        <v>0</v>
      </c>
      <c r="Q20" s="205">
        <f t="shared" si="3"/>
        <v>0</v>
      </c>
      <c r="R20" s="205">
        <f t="shared" si="3"/>
        <v>0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223</v>
      </c>
      <c r="B21" s="229"/>
      <c r="C21" s="229"/>
      <c r="D21" s="230"/>
      <c r="E21" s="207">
        <f>+E11</f>
        <v>31778888.29</v>
      </c>
      <c r="F21" s="207">
        <f aca="true" t="shared" si="4" ref="F21:AQ21">+F11</f>
        <v>31283833</v>
      </c>
      <c r="G21" s="207">
        <f t="shared" si="4"/>
        <v>31794363</v>
      </c>
      <c r="H21" s="207">
        <f t="shared" si="4"/>
        <v>32515274</v>
      </c>
      <c r="I21" s="207">
        <f t="shared" si="4"/>
        <v>33598788</v>
      </c>
      <c r="J21" s="207">
        <f t="shared" si="4"/>
        <v>32991479</v>
      </c>
      <c r="K21" s="207">
        <f t="shared" si="4"/>
        <v>33878223</v>
      </c>
      <c r="L21" s="207">
        <f t="shared" si="4"/>
        <v>34994570</v>
      </c>
      <c r="M21" s="207">
        <f t="shared" si="4"/>
        <v>35241407</v>
      </c>
      <c r="N21" s="207">
        <f t="shared" si="4"/>
        <v>37019649</v>
      </c>
      <c r="O21" s="207">
        <f t="shared" si="4"/>
        <v>38130238</v>
      </c>
      <c r="P21" s="207">
        <f t="shared" si="4"/>
        <v>0</v>
      </c>
      <c r="Q21" s="207">
        <f t="shared" si="4"/>
        <v>0</v>
      </c>
      <c r="R21" s="207">
        <f t="shared" si="4"/>
        <v>0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224</v>
      </c>
      <c r="B22" s="229"/>
      <c r="C22" s="229"/>
      <c r="D22" s="230"/>
      <c r="E22" s="191">
        <f>+IF(E21&lt;&gt;0,E20/E21,0)</f>
        <v>0.11834750056953613</v>
      </c>
      <c r="F22" s="191">
        <f aca="true" t="shared" si="5" ref="F22:AQ22">+IF(F21&lt;&gt;0,F20/F21,0)</f>
        <v>0.14002759828055597</v>
      </c>
      <c r="G22" s="191">
        <f t="shared" si="5"/>
        <v>0.04343537249040026</v>
      </c>
      <c r="H22" s="191">
        <f t="shared" si="5"/>
        <v>0.059261379744178076</v>
      </c>
      <c r="I22" s="191">
        <f t="shared" si="5"/>
        <v>0.059228326926554616</v>
      </c>
      <c r="J22" s="191">
        <f t="shared" si="5"/>
        <v>0.061955391572472394</v>
      </c>
      <c r="K22" s="191">
        <f t="shared" si="5"/>
        <v>0.06493847094636575</v>
      </c>
      <c r="L22" s="191">
        <f t="shared" si="5"/>
        <v>0.07343996511458778</v>
      </c>
      <c r="M22" s="191">
        <f t="shared" si="5"/>
        <v>0.020328359761572518</v>
      </c>
      <c r="N22" s="191">
        <f t="shared" si="5"/>
        <v>0.07284174952604223</v>
      </c>
      <c r="O22" s="191">
        <f t="shared" si="5"/>
        <v>0.04756421924248152</v>
      </c>
      <c r="P22" s="191">
        <f t="shared" si="5"/>
        <v>0</v>
      </c>
      <c r="Q22" s="191">
        <f t="shared" si="5"/>
        <v>0</v>
      </c>
      <c r="R22" s="191">
        <f t="shared" si="5"/>
        <v>0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216</v>
      </c>
      <c r="B23" s="229"/>
      <c r="C23" s="229"/>
      <c r="D23" s="230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NIE 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225</v>
      </c>
      <c r="B24" s="229"/>
      <c r="C24" s="229"/>
      <c r="D24" s="230"/>
      <c r="E24" s="188">
        <f>+Zal_1_WPF_uklad_budzetu!C34+Zal_1_WPF_uklad_budzetu!C17</f>
        <v>0</v>
      </c>
      <c r="F24" s="188">
        <f>+Zal_1_WPF_uklad_budzetu!D34+Zal_1_WPF_uklad_budzetu!D17</f>
        <v>0</v>
      </c>
      <c r="G24" s="188">
        <f>+Zal_1_WPF_uklad_budzetu!E34+Zal_1_WPF_uklad_budzetu!E17</f>
        <v>0</v>
      </c>
      <c r="H24" s="188">
        <f>+Zal_1_WPF_uklad_budzetu!F34+Zal_1_WPF_uklad_budzetu!F17</f>
        <v>0</v>
      </c>
      <c r="I24" s="188">
        <f>+Zal_1_WPF_uklad_budzetu!G34+Zal_1_WPF_uklad_budzetu!G17</f>
        <v>0</v>
      </c>
      <c r="J24" s="188">
        <f>+Zal_1_WPF_uklad_budzetu!H34+Zal_1_WPF_uklad_budzetu!H17</f>
        <v>0</v>
      </c>
      <c r="K24" s="188">
        <f>+Zal_1_WPF_uklad_budzetu!I34+Zal_1_WPF_uklad_budzetu!I17</f>
        <v>0</v>
      </c>
      <c r="L24" s="188">
        <f>+Zal_1_WPF_uklad_budzetu!J34+Zal_1_WPF_uklad_budzetu!J17</f>
        <v>0</v>
      </c>
      <c r="M24" s="188">
        <f>+Zal_1_WPF_uklad_budzetu!K34+Zal_1_WPF_uklad_budzetu!K17</f>
        <v>0</v>
      </c>
      <c r="N24" s="188">
        <f>+Zal_1_WPF_uklad_budzetu!L34+Zal_1_WPF_uklad_budzetu!L17</f>
        <v>0</v>
      </c>
      <c r="O24" s="188">
        <f>+Zal_1_WPF_uklad_budzetu!M34+Zal_1_WPF_uklad_budzetu!M17</f>
        <v>0</v>
      </c>
      <c r="P24" s="188">
        <f>+Zal_1_WPF_uklad_budzetu!N34+Zal_1_WPF_uklad_budzetu!N17</f>
        <v>0</v>
      </c>
      <c r="Q24" s="188">
        <f>+Zal_1_WPF_uklad_budzetu!O34+Zal_1_WPF_uklad_budzetu!O17</f>
        <v>0</v>
      </c>
      <c r="R24" s="188">
        <f>+Zal_1_WPF_uklad_budzetu!P34+Zal_1_WPF_uklad_budzetu!P17</f>
        <v>0</v>
      </c>
      <c r="S24" s="188">
        <f>+Zal_1_WPF_uklad_budzetu!Q34+Zal_1_WPF_uklad_budzetu!Q17</f>
        <v>0</v>
      </c>
      <c r="T24" s="188">
        <f>+Zal_1_WPF_uklad_budzetu!R34+Zal_1_WPF_uklad_budzetu!R17</f>
        <v>0</v>
      </c>
      <c r="U24" s="188">
        <f>+Zal_1_WPF_uklad_budzetu!S34+Zal_1_WPF_uklad_budzetu!S17</f>
        <v>0</v>
      </c>
      <c r="V24" s="188">
        <f>+Zal_1_WPF_uklad_budzetu!T34+Zal_1_WPF_uklad_budzetu!T17</f>
        <v>0</v>
      </c>
      <c r="W24" s="188">
        <f>+Zal_1_WPF_uklad_budzetu!U34+Zal_1_WPF_uklad_budzetu!U17</f>
        <v>0</v>
      </c>
      <c r="X24" s="188">
        <f>+Zal_1_WPF_uklad_budzetu!V34+Zal_1_WPF_uklad_budzetu!V17</f>
        <v>0</v>
      </c>
      <c r="Y24" s="188">
        <f>+Zal_1_WPF_uklad_budzetu!W34+Zal_1_WPF_uklad_budzetu!W17</f>
        <v>0</v>
      </c>
      <c r="Z24" s="188">
        <f>+Zal_1_WPF_uklad_budzetu!X34+Zal_1_WPF_uklad_budzetu!X17</f>
        <v>0</v>
      </c>
      <c r="AA24" s="188">
        <f>+Zal_1_WPF_uklad_budzetu!Y34+Zal_1_WPF_uklad_budzetu!Y17</f>
        <v>0</v>
      </c>
      <c r="AB24" s="188">
        <f>+Zal_1_WPF_uklad_budzetu!Z34+Zal_1_WPF_uklad_budzetu!Z17</f>
        <v>0</v>
      </c>
      <c r="AC24" s="188">
        <f>+Zal_1_WPF_uklad_budzetu!AA34+Zal_1_WPF_uklad_budzetu!AA17</f>
        <v>0</v>
      </c>
      <c r="AD24" s="188">
        <f>+Zal_1_WPF_uklad_budzetu!AB34+Zal_1_WPF_uklad_budzetu!AB17</f>
        <v>0</v>
      </c>
      <c r="AE24" s="188">
        <f>+Zal_1_WPF_uklad_budzetu!AC34+Zal_1_WPF_uklad_budzetu!AC17</f>
        <v>0</v>
      </c>
      <c r="AF24" s="188">
        <f>+Zal_1_WPF_uklad_budzetu!AD34+Zal_1_WPF_uklad_budzetu!AD17</f>
        <v>0</v>
      </c>
      <c r="AG24" s="188">
        <f>+Zal_1_WPF_uklad_budzetu!AE34+Zal_1_WPF_uklad_budzetu!AE17</f>
        <v>0</v>
      </c>
      <c r="AH24" s="188">
        <f>+Zal_1_WPF_uklad_budzetu!AF34+Zal_1_WPF_uklad_budzetu!AF17</f>
        <v>0</v>
      </c>
      <c r="AI24" s="188">
        <f>+Zal_1_WPF_uklad_budzetu!AG34+Zal_1_WPF_uklad_budzetu!AG17</f>
        <v>0</v>
      </c>
      <c r="AJ24" s="188">
        <f>+Zal_1_WPF_uklad_budzetu!AH34+Zal_1_WPF_uklad_budzetu!AH17</f>
        <v>0</v>
      </c>
      <c r="AK24" s="188">
        <f>+Zal_1_WPF_uklad_budzetu!AI34+Zal_1_WPF_uklad_budzetu!AI17</f>
        <v>0</v>
      </c>
      <c r="AL24" s="188">
        <f>+Zal_1_WPF_uklad_budzetu!AJ34+Zal_1_WPF_uklad_budzetu!AJ17</f>
        <v>0</v>
      </c>
      <c r="AM24" s="188">
        <f>+Zal_1_WPF_uklad_budzetu!AK34+Zal_1_WPF_uklad_budzetu!AK17</f>
        <v>0</v>
      </c>
      <c r="AN24" s="188">
        <f>+Zal_1_WPF_uklad_budzetu!AL34+Zal_1_WPF_uklad_budzetu!AL17</f>
        <v>0</v>
      </c>
      <c r="AO24" s="188">
        <f>+Zal_1_WPF_uklad_budzetu!AM34+Zal_1_WPF_uklad_budzetu!AM17</f>
        <v>0</v>
      </c>
      <c r="AP24" s="188">
        <f>+Zal_1_WPF_uklad_budzetu!AN34+Zal_1_WPF_uklad_budzetu!AN17</f>
        <v>0</v>
      </c>
      <c r="AQ24" s="188">
        <f>+Zal_1_WPF_uklad_budzetu!AO34+Zal_1_WPF_uklad_budzetu!AO17</f>
        <v>0</v>
      </c>
    </row>
    <row r="25" spans="1:43" ht="14.25">
      <c r="A25" s="195" t="s">
        <v>217</v>
      </c>
      <c r="B25" s="229"/>
      <c r="C25" s="229"/>
      <c r="D25" s="230"/>
      <c r="E25" s="192">
        <f>+E20-E24</f>
        <v>3760952</v>
      </c>
      <c r="F25" s="192">
        <f aca="true" t="shared" si="7" ref="F25:AQ25">+F20-F24</f>
        <v>4380600</v>
      </c>
      <c r="G25" s="192">
        <f t="shared" si="7"/>
        <v>1381000</v>
      </c>
      <c r="H25" s="192">
        <f t="shared" si="7"/>
        <v>1926900</v>
      </c>
      <c r="I25" s="192">
        <f t="shared" si="7"/>
        <v>1990000</v>
      </c>
      <c r="J25" s="192">
        <f t="shared" si="7"/>
        <v>2044000</v>
      </c>
      <c r="K25" s="192">
        <f t="shared" si="7"/>
        <v>2200000</v>
      </c>
      <c r="L25" s="192">
        <f t="shared" si="7"/>
        <v>2570000</v>
      </c>
      <c r="M25" s="192">
        <f t="shared" si="7"/>
        <v>716400</v>
      </c>
      <c r="N25" s="192">
        <f t="shared" si="7"/>
        <v>2696576</v>
      </c>
      <c r="O25" s="192">
        <f t="shared" si="7"/>
        <v>1813635</v>
      </c>
      <c r="P25" s="192">
        <f t="shared" si="7"/>
        <v>0</v>
      </c>
      <c r="Q25" s="192">
        <f t="shared" si="7"/>
        <v>0</v>
      </c>
      <c r="R25" s="192">
        <f t="shared" si="7"/>
        <v>0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226</v>
      </c>
      <c r="B26" s="229"/>
      <c r="C26" s="229"/>
      <c r="D26" s="230"/>
      <c r="E26" s="193">
        <f>+IF(E21&lt;&gt;0,E25/E21,0)</f>
        <v>0.11834750056953613</v>
      </c>
      <c r="F26" s="193">
        <f aca="true" t="shared" si="8" ref="F26:AQ26">+IF(F21&lt;&gt;0,F25/F21,0)</f>
        <v>0.14002759828055597</v>
      </c>
      <c r="G26" s="193">
        <f t="shared" si="8"/>
        <v>0.04343537249040026</v>
      </c>
      <c r="H26" s="193">
        <f t="shared" si="8"/>
        <v>0.059261379744178076</v>
      </c>
      <c r="I26" s="193">
        <f t="shared" si="8"/>
        <v>0.059228326926554616</v>
      </c>
      <c r="J26" s="193">
        <f t="shared" si="8"/>
        <v>0.061955391572472394</v>
      </c>
      <c r="K26" s="193">
        <f t="shared" si="8"/>
        <v>0.06493847094636575</v>
      </c>
      <c r="L26" s="193">
        <f t="shared" si="8"/>
        <v>0.07343996511458778</v>
      </c>
      <c r="M26" s="193">
        <f t="shared" si="8"/>
        <v>0.020328359761572518</v>
      </c>
      <c r="N26" s="193">
        <f t="shared" si="8"/>
        <v>0.07284174952604223</v>
      </c>
      <c r="O26" s="193">
        <f t="shared" si="8"/>
        <v>0.04756421924248152</v>
      </c>
      <c r="P26" s="193">
        <f t="shared" si="8"/>
        <v>0</v>
      </c>
      <c r="Q26" s="193">
        <f t="shared" si="8"/>
        <v>0</v>
      </c>
      <c r="R26" s="193">
        <f t="shared" si="8"/>
        <v>0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218</v>
      </c>
      <c r="B27" s="231"/>
      <c r="C27" s="231"/>
      <c r="D27" s="232"/>
      <c r="E27" s="186" t="str">
        <f>+IF(E26&lt;=E13,"ZGODNE","NIE ZGODNE")</f>
        <v>NIE ZGODNE</v>
      </c>
      <c r="F27" s="186" t="str">
        <f aca="true" t="shared" si="9" ref="F27:AQ27">+IF(F26&lt;=F13,"ZGODNE","NIE ZGODNE")</f>
        <v>NIE ZGODNE</v>
      </c>
      <c r="G27" s="186" t="str">
        <f t="shared" si="9"/>
        <v>NIE 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-0.11834750056953613</v>
      </c>
      <c r="F30" s="222">
        <f aca="true" t="shared" si="10" ref="F30:AQ30">+F$13-F22</f>
        <v>-0.12145493263912152</v>
      </c>
      <c r="G30" s="222">
        <f t="shared" si="10"/>
        <v>-0.0015961631787363081</v>
      </c>
      <c r="H30" s="222">
        <f t="shared" si="10"/>
        <v>0.002787135223334361</v>
      </c>
      <c r="I30" s="222">
        <f t="shared" si="10"/>
        <v>0.00438437664634083</v>
      </c>
      <c r="J30" s="222">
        <f t="shared" si="10"/>
        <v>0.00016864714336185804</v>
      </c>
      <c r="K30" s="222">
        <f t="shared" si="10"/>
        <v>0.0035006665919198043</v>
      </c>
      <c r="L30" s="222">
        <f t="shared" si="10"/>
        <v>0.0009998165928981756</v>
      </c>
      <c r="M30" s="222">
        <f t="shared" si="10"/>
        <v>0.06369344649299026</v>
      </c>
      <c r="N30" s="222">
        <f t="shared" si="10"/>
        <v>0.004613794103070168</v>
      </c>
      <c r="O30" s="222">
        <f t="shared" si="10"/>
        <v>0.03493408738620162</v>
      </c>
      <c r="P30" s="222">
        <f t="shared" si="10"/>
        <v>0.08437213236291678</v>
      </c>
      <c r="Q30" s="222">
        <f t="shared" si="10"/>
        <v>0.06441399051006737</v>
      </c>
      <c r="R30" s="222">
        <f t="shared" si="10"/>
        <v>0.03323372909447877</v>
      </c>
      <c r="S30" s="222">
        <f t="shared" si="10"/>
        <v>0</v>
      </c>
      <c r="T30" s="222">
        <f t="shared" si="10"/>
        <v>0</v>
      </c>
      <c r="U30" s="222">
        <f t="shared" si="10"/>
        <v>0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 ht="14.25">
      <c r="A31" s="210" t="s">
        <v>234</v>
      </c>
      <c r="E31" s="222">
        <f>+E$13-E26</f>
        <v>-0.11834750056953613</v>
      </c>
      <c r="F31" s="222">
        <f aca="true" t="shared" si="11" ref="F31:AQ31">+F$13-F26</f>
        <v>-0.12145493263912152</v>
      </c>
      <c r="G31" s="222">
        <f t="shared" si="11"/>
        <v>-0.0015961631787363081</v>
      </c>
      <c r="H31" s="222">
        <f t="shared" si="11"/>
        <v>0.002787135223334361</v>
      </c>
      <c r="I31" s="222">
        <f t="shared" si="11"/>
        <v>0.00438437664634083</v>
      </c>
      <c r="J31" s="222">
        <f t="shared" si="11"/>
        <v>0.00016864714336185804</v>
      </c>
      <c r="K31" s="222">
        <f t="shared" si="11"/>
        <v>0.0035006665919198043</v>
      </c>
      <c r="L31" s="222">
        <f t="shared" si="11"/>
        <v>0.0009998165928981756</v>
      </c>
      <c r="M31" s="222">
        <f t="shared" si="11"/>
        <v>0.06369344649299026</v>
      </c>
      <c r="N31" s="222">
        <f t="shared" si="11"/>
        <v>0.004613794103070168</v>
      </c>
      <c r="O31" s="222">
        <f t="shared" si="11"/>
        <v>0.03493408738620162</v>
      </c>
      <c r="P31" s="222">
        <f t="shared" si="11"/>
        <v>0.08437213236291678</v>
      </c>
      <c r="Q31" s="222">
        <f t="shared" si="11"/>
        <v>0.06441399051006737</v>
      </c>
      <c r="R31" s="222">
        <f t="shared" si="11"/>
        <v>0.03323372909447877</v>
      </c>
      <c r="S31" s="222">
        <f t="shared" si="11"/>
        <v>0</v>
      </c>
      <c r="T31" s="222">
        <f t="shared" si="11"/>
        <v>0</v>
      </c>
      <c r="U31" s="222">
        <f t="shared" si="11"/>
        <v>0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5"/>
  <sheetViews>
    <sheetView zoomScaleSheetLayoutView="100" zoomScalePageLayoutView="0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XXII/112/2012</v>
      </c>
      <c r="D1" s="22" t="str">
        <f>C2&amp;" - "&amp;"WPF za lata "&amp;C3&amp;" - Nr Uchwały JST: "&amp;C1</f>
        <v>(1425062) - JEDLNIA-LETNISKO - WPF za lata 2012-2022 - Nr Uchwały JST: XXII/112/2012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(1425062) - JEDLNIA-LETNISKO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2012-2022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31778888.29</v>
      </c>
      <c r="D6" s="68">
        <f aca="true" t="shared" si="0" ref="D6:AD6">+D7+D9</f>
        <v>31283833</v>
      </c>
      <c r="E6" s="68">
        <f t="shared" si="0"/>
        <v>31794363</v>
      </c>
      <c r="F6" s="68">
        <f t="shared" si="0"/>
        <v>32515274</v>
      </c>
      <c r="G6" s="68">
        <f t="shared" si="0"/>
        <v>33598788</v>
      </c>
      <c r="H6" s="68">
        <f t="shared" si="0"/>
        <v>32991479</v>
      </c>
      <c r="I6" s="68">
        <f t="shared" si="0"/>
        <v>33878223</v>
      </c>
      <c r="J6" s="68">
        <f t="shared" si="0"/>
        <v>34994570</v>
      </c>
      <c r="K6" s="68">
        <f t="shared" si="0"/>
        <v>35241407</v>
      </c>
      <c r="L6" s="68">
        <f t="shared" si="0"/>
        <v>37019649</v>
      </c>
      <c r="M6" s="68">
        <f t="shared" si="0"/>
        <v>38130238</v>
      </c>
      <c r="N6" s="68">
        <f t="shared" si="0"/>
        <v>0</v>
      </c>
      <c r="O6" s="68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28407264.29</v>
      </c>
      <c r="D7" s="71">
        <f>+Zal_1_WPF_wg_przeplywow!D8</f>
        <v>29768833</v>
      </c>
      <c r="E7" s="71">
        <f>+Zal_1_WPF_wg_przeplywow!E8</f>
        <v>30279363</v>
      </c>
      <c r="F7" s="71">
        <f>+Zal_1_WPF_wg_przeplywow!F8</f>
        <v>31000274</v>
      </c>
      <c r="G7" s="71">
        <f>+Zal_1_WPF_wg_przeplywow!G8</f>
        <v>31983475</v>
      </c>
      <c r="H7" s="71">
        <f>+Zal_1_WPF_wg_przeplywow!H8</f>
        <v>32991479</v>
      </c>
      <c r="I7" s="71">
        <f>+Zal_1_WPF_wg_przeplywow!I8</f>
        <v>33878223</v>
      </c>
      <c r="J7" s="71">
        <f>+Zal_1_WPF_wg_przeplywow!J8</f>
        <v>34994570</v>
      </c>
      <c r="K7" s="71">
        <f>+Zal_1_WPF_wg_przeplywow!K8</f>
        <v>35241407</v>
      </c>
      <c r="L7" s="71">
        <f>+Zal_1_WPF_wg_przeplywow!L8</f>
        <v>37019649</v>
      </c>
      <c r="M7" s="71">
        <f>+Zal_1_WPF_wg_przeplywow!M8</f>
        <v>38130238</v>
      </c>
      <c r="N7" s="71">
        <f>+Zal_1_WPF_wg_przeplywow!N8</f>
        <v>0</v>
      </c>
      <c r="O7" s="71">
        <f>+Zal_1_WPF_wg_przeplywow!O8</f>
        <v>0</v>
      </c>
      <c r="P7" s="71">
        <f>+Zal_1_WPF_wg_przeplywow!P8</f>
        <v>0</v>
      </c>
      <c r="Q7" s="71">
        <f>+Zal_1_WPF_wg_przeplywow!Q8</f>
        <v>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131940.9</v>
      </c>
      <c r="D8" s="71">
        <f>+Zal_1_WPF_wg_przeplywow!D9</f>
        <v>170050</v>
      </c>
      <c r="E8" s="71">
        <f>+Zal_1_WPF_wg_przeplywow!E9</f>
        <v>179000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3371624</v>
      </c>
      <c r="D9" s="71">
        <f>+Zal_1_WPF_wg_przeplywow!D10</f>
        <v>1515000</v>
      </c>
      <c r="E9" s="71">
        <f>+Zal_1_WPF_wg_przeplywow!E10</f>
        <v>1515000</v>
      </c>
      <c r="F9" s="71">
        <f>+Zal_1_WPF_wg_przeplywow!F10</f>
        <v>1515000</v>
      </c>
      <c r="G9" s="71">
        <f>+Zal_1_WPF_wg_przeplywow!G10</f>
        <v>1615313</v>
      </c>
      <c r="H9" s="71">
        <f>+Zal_1_WPF_wg_przeplywow!H10</f>
        <v>0</v>
      </c>
      <c r="I9" s="71">
        <f>+Zal_1_WPF_wg_przeplywow!I10</f>
        <v>0</v>
      </c>
      <c r="J9" s="71">
        <f>+Zal_1_WPF_wg_przeplywow!J10</f>
        <v>0</v>
      </c>
      <c r="K9" s="71">
        <f>+Zal_1_WPF_wg_przeplywow!K10</f>
        <v>0</v>
      </c>
      <c r="L9" s="71">
        <f>+Zal_1_WPF_wg_przeplywow!L10</f>
        <v>0</v>
      </c>
      <c r="M9" s="71">
        <f>+Zal_1_WPF_wg_przeplywow!M10</f>
        <v>0</v>
      </c>
      <c r="N9" s="71">
        <f>+Zal_1_WPF_wg_przeplywow!N10</f>
        <v>0</v>
      </c>
      <c r="O9" s="71">
        <f>+Zal_1_WPF_wg_przeplywow!O10</f>
        <v>0</v>
      </c>
      <c r="P9" s="71">
        <f>+Zal_1_WPF_wg_przeplywow!P10</f>
        <v>0</v>
      </c>
      <c r="Q9" s="71">
        <f>+Zal_1_WPF_wg_przeplywow!Q10</f>
        <v>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0</v>
      </c>
      <c r="D10" s="71">
        <f>+Zal_1_WPF_wg_przeplywow!D11</f>
        <v>0</v>
      </c>
      <c r="E10" s="71">
        <f>+Zal_1_WPF_wg_przeplywow!E11</f>
        <v>0</v>
      </c>
      <c r="F10" s="71">
        <f>+Zal_1_WPF_wg_przeplywow!F11</f>
        <v>0</v>
      </c>
      <c r="G10" s="71">
        <f>+Zal_1_WPF_wg_przeplywow!G11</f>
        <v>0</v>
      </c>
      <c r="H10" s="71">
        <f>+Zal_1_WPF_wg_przeplywow!H11</f>
        <v>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  <c r="L10" s="71">
        <f>+Zal_1_WPF_wg_przeplywow!L11</f>
        <v>0</v>
      </c>
      <c r="M10" s="71">
        <f>+Zal_1_WPF_wg_przeplywow!M11</f>
        <v>0</v>
      </c>
      <c r="N10" s="71">
        <f>+Zal_1_WPF_wg_przeplywow!N11</f>
        <v>0</v>
      </c>
      <c r="O10" s="71">
        <f>+Zal_1_WPF_wg_przeplywow!O11</f>
        <v>0</v>
      </c>
      <c r="P10" s="71">
        <f>+Zal_1_WPF_wg_przeplywow!P11</f>
        <v>0</v>
      </c>
      <c r="Q10" s="71">
        <f>+Zal_1_WPF_wg_przeplywow!Q11</f>
        <v>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1772800</v>
      </c>
      <c r="D11" s="85">
        <f>+Zal_1_WPF_wg_przeplywow!D12</f>
        <v>1515000</v>
      </c>
      <c r="E11" s="85">
        <f>+Zal_1_WPF_wg_przeplywow!E12</f>
        <v>1515000</v>
      </c>
      <c r="F11" s="85">
        <f>+Zal_1_WPF_wg_przeplywow!F12</f>
        <v>1515000</v>
      </c>
      <c r="G11" s="85">
        <f>+Zal_1_WPF_wg_przeplywow!G12</f>
        <v>1615313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32277336.29</v>
      </c>
      <c r="D12" s="68">
        <f aca="true" t="shared" si="2" ref="D12:AD12">+D13+D20</f>
        <v>30653233</v>
      </c>
      <c r="E12" s="68">
        <f t="shared" si="2"/>
        <v>31419737</v>
      </c>
      <c r="F12" s="68">
        <f t="shared" si="2"/>
        <v>32104008</v>
      </c>
      <c r="G12" s="68">
        <f t="shared" si="2"/>
        <v>33160491</v>
      </c>
      <c r="H12" s="68">
        <f t="shared" si="2"/>
        <v>31297479</v>
      </c>
      <c r="I12" s="68">
        <f t="shared" si="2"/>
        <v>31928223</v>
      </c>
      <c r="J12" s="68">
        <f t="shared" si="2"/>
        <v>32544570</v>
      </c>
      <c r="K12" s="68">
        <f t="shared" si="2"/>
        <v>34741407</v>
      </c>
      <c r="L12" s="68">
        <f t="shared" si="2"/>
        <v>34453073</v>
      </c>
      <c r="M12" s="68">
        <f t="shared" si="2"/>
        <v>36436603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26636608.29</v>
      </c>
      <c r="D13" s="75">
        <f aca="true" t="shared" si="4" ref="D13:AD13">+D14+D18</f>
        <v>27585233</v>
      </c>
      <c r="E13" s="75">
        <f t="shared" si="4"/>
        <v>28351737</v>
      </c>
      <c r="F13" s="75">
        <f t="shared" si="4"/>
        <v>29036008</v>
      </c>
      <c r="G13" s="75">
        <f t="shared" si="4"/>
        <v>29788344</v>
      </c>
      <c r="H13" s="75">
        <f t="shared" si="4"/>
        <v>30366241</v>
      </c>
      <c r="I13" s="75">
        <f t="shared" si="4"/>
        <v>31221747</v>
      </c>
      <c r="J13" s="75">
        <f t="shared" si="4"/>
        <v>31702291</v>
      </c>
      <c r="K13" s="75">
        <f t="shared" si="4"/>
        <v>33131348</v>
      </c>
      <c r="L13" s="75">
        <f t="shared" si="4"/>
        <v>33556802</v>
      </c>
      <c r="M13" s="75">
        <f t="shared" si="4"/>
        <v>34328608</v>
      </c>
      <c r="N13" s="75">
        <f t="shared" si="4"/>
        <v>0</v>
      </c>
      <c r="O13" s="75">
        <f t="shared" si="4"/>
        <v>0</v>
      </c>
      <c r="P13" s="75">
        <f t="shared" si="4"/>
        <v>0</v>
      </c>
      <c r="Q13" s="75">
        <f t="shared" si="4"/>
        <v>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26000608.29</v>
      </c>
      <c r="D14" s="75">
        <f>+Zal_1_WPF_wg_przeplywow!D13</f>
        <v>26865233</v>
      </c>
      <c r="E14" s="75">
        <f>+Zal_1_WPF_wg_przeplywow!E13</f>
        <v>27741737</v>
      </c>
      <c r="F14" s="75">
        <f>+Zal_1_WPF_wg_przeplywow!F13</f>
        <v>28496008</v>
      </c>
      <c r="G14" s="75">
        <f>+Zal_1_WPF_wg_przeplywow!G13</f>
        <v>29288344</v>
      </c>
      <c r="H14" s="75">
        <f>+Zal_1_WPF_wg_przeplywow!H13</f>
        <v>30016241</v>
      </c>
      <c r="I14" s="75">
        <f>+Zal_1_WPF_wg_przeplywow!I13</f>
        <v>30971747</v>
      </c>
      <c r="J14" s="75">
        <f>+Zal_1_WPF_wg_przeplywow!J13</f>
        <v>31582291</v>
      </c>
      <c r="K14" s="75">
        <f>+Zal_1_WPF_wg_przeplywow!K13</f>
        <v>32914948</v>
      </c>
      <c r="L14" s="75">
        <f>+Zal_1_WPF_wg_przeplywow!L13</f>
        <v>33426802</v>
      </c>
      <c r="M14" s="75">
        <f>+Zal_1_WPF_wg_przeplywow!M13</f>
        <v>34208608</v>
      </c>
      <c r="N14" s="75">
        <f>+Zal_1_WPF_wg_przeplywow!N13</f>
        <v>0</v>
      </c>
      <c r="O14" s="75">
        <f>+Zal_1_WPF_wg_przeplywow!O13</f>
        <v>0</v>
      </c>
      <c r="P14" s="75">
        <f>+Zal_1_WPF_wg_przeplywow!P13</f>
        <v>0</v>
      </c>
      <c r="Q14" s="75">
        <f>+Zal_1_WPF_wg_przeplywow!Q13</f>
        <v>0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147420</v>
      </c>
      <c r="D15" s="75">
        <f>+Zal_1_WPF_wg_przeplywow!D19</f>
        <v>190000</v>
      </c>
      <c r="E15" s="75">
        <f>+Zal_1_WPF_wg_przeplywow!E19</f>
        <v>200000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165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166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636000</v>
      </c>
      <c r="D18" s="71">
        <f>+Zal_1_WPF_wg_przeplywow!D29</f>
        <v>720000</v>
      </c>
      <c r="E18" s="71">
        <f>+Zal_1_WPF_wg_przeplywow!E29</f>
        <v>610000</v>
      </c>
      <c r="F18" s="71">
        <f>+Zal_1_WPF_wg_przeplywow!F29</f>
        <v>540000</v>
      </c>
      <c r="G18" s="71">
        <f>+Zal_1_WPF_wg_przeplywow!G29</f>
        <v>500000</v>
      </c>
      <c r="H18" s="71">
        <f>+Zal_1_WPF_wg_przeplywow!H29</f>
        <v>350000</v>
      </c>
      <c r="I18" s="71">
        <f>+Zal_1_WPF_wg_przeplywow!I29</f>
        <v>250000</v>
      </c>
      <c r="J18" s="71">
        <f>+Zal_1_WPF_wg_przeplywow!J29</f>
        <v>120000</v>
      </c>
      <c r="K18" s="71">
        <f>+Zal_1_WPF_wg_przeplywow!K29</f>
        <v>216400</v>
      </c>
      <c r="L18" s="71">
        <f>+Zal_1_WPF_wg_przeplywow!L29</f>
        <v>130000</v>
      </c>
      <c r="M18" s="71">
        <f>+Zal_1_WPF_wg_przeplywow!M29</f>
        <v>120000</v>
      </c>
      <c r="N18" s="71">
        <f>+Zal_1_WPF_wg_przeplywow!N29</f>
        <v>0</v>
      </c>
      <c r="O18" s="71">
        <f>+Zal_1_WPF_wg_przeplywow!O29</f>
        <v>0</v>
      </c>
      <c r="P18" s="71">
        <f>+Zal_1_WPF_wg_przeplywow!P29</f>
        <v>0</v>
      </c>
      <c r="Q18" s="71">
        <f>+Zal_1_WPF_wg_przeplywow!Q29</f>
        <v>0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167</v>
      </c>
      <c r="C19" s="71">
        <f>+Zal_1_WPF_wg_przeplywow!C30</f>
        <v>600000</v>
      </c>
      <c r="D19" s="71">
        <f>+Zal_1_WPF_wg_przeplywow!D30</f>
        <v>710000</v>
      </c>
      <c r="E19" s="71">
        <f>+Zal_1_WPF_wg_przeplywow!E30</f>
        <v>600000</v>
      </c>
      <c r="F19" s="71">
        <f>+Zal_1_WPF_wg_przeplywow!F30</f>
        <v>530000</v>
      </c>
      <c r="G19" s="71">
        <f>+Zal_1_WPF_wg_przeplywow!G30</f>
        <v>490000</v>
      </c>
      <c r="H19" s="71">
        <f>+Zal_1_WPF_wg_przeplywow!H30</f>
        <v>350000</v>
      </c>
      <c r="I19" s="71">
        <f>+Zal_1_WPF_wg_przeplywow!I30</f>
        <v>250000</v>
      </c>
      <c r="J19" s="71">
        <f>+Zal_1_WPF_wg_przeplywow!J30</f>
        <v>120000</v>
      </c>
      <c r="K19" s="71">
        <f>+Zal_1_WPF_wg_przeplywow!K30</f>
        <v>216400</v>
      </c>
      <c r="L19" s="71">
        <f>+Zal_1_WPF_wg_przeplywow!L30</f>
        <v>130000</v>
      </c>
      <c r="M19" s="71">
        <f>+Zal_1_WPF_wg_przeplywow!M30</f>
        <v>120000</v>
      </c>
      <c r="N19" s="71">
        <f>+Zal_1_WPF_wg_przeplywow!N30</f>
        <v>0</v>
      </c>
      <c r="O19" s="71">
        <f>+Zal_1_WPF_wg_przeplywow!O30</f>
        <v>0</v>
      </c>
      <c r="P19" s="71">
        <f>+Zal_1_WPF_wg_przeplywow!P30</f>
        <v>0</v>
      </c>
      <c r="Q19" s="71">
        <f>+Zal_1_WPF_wg_przeplywow!Q30</f>
        <v>0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5640728</v>
      </c>
      <c r="D20" s="75">
        <f>+Zal_1_WPF_wg_przeplywow!D33</f>
        <v>3068000</v>
      </c>
      <c r="E20" s="75">
        <f>+Zal_1_WPF_wg_przeplywow!E33</f>
        <v>3068000</v>
      </c>
      <c r="F20" s="75">
        <f>+Zal_1_WPF_wg_przeplywow!F33</f>
        <v>3068000</v>
      </c>
      <c r="G20" s="75">
        <f>+Zal_1_WPF_wg_przeplywow!G33</f>
        <v>3372147</v>
      </c>
      <c r="H20" s="75">
        <f>+Zal_1_WPF_wg_przeplywow!H33</f>
        <v>931238</v>
      </c>
      <c r="I20" s="75">
        <f>+Zal_1_WPF_wg_przeplywow!I33</f>
        <v>706476</v>
      </c>
      <c r="J20" s="75">
        <f>+Zal_1_WPF_wg_przeplywow!J33</f>
        <v>842279</v>
      </c>
      <c r="K20" s="75">
        <f>+Zal_1_WPF_wg_przeplywow!K33</f>
        <v>1610059</v>
      </c>
      <c r="L20" s="75">
        <f>+Zal_1_WPF_wg_przeplywow!L33</f>
        <v>896271</v>
      </c>
      <c r="M20" s="75">
        <f>+Zal_1_WPF_wg_przeplywow!M33</f>
        <v>2107995</v>
      </c>
      <c r="N20" s="75">
        <f>+Zal_1_WPF_wg_przeplywow!N33</f>
        <v>0</v>
      </c>
      <c r="O20" s="75">
        <f>+Zal_1_WPF_wg_przeplywow!O33</f>
        <v>0</v>
      </c>
      <c r="P20" s="75">
        <f>+Zal_1_WPF_wg_przeplywow!P33</f>
        <v>0</v>
      </c>
      <c r="Q20" s="75">
        <f>+Zal_1_WPF_wg_przeplywow!Q33</f>
        <v>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3500000</v>
      </c>
      <c r="D21" s="88">
        <f>+Zal_1_WPF_wg_przeplywow!D35</f>
        <v>2900000</v>
      </c>
      <c r="E21" s="88">
        <f>+Zal_1_WPF_wg_przeplywow!E35</f>
        <v>2900000</v>
      </c>
      <c r="F21" s="88">
        <f>+Zal_1_WPF_wg_przeplywow!F35</f>
        <v>2900000</v>
      </c>
      <c r="G21" s="88">
        <f>+Zal_1_WPF_wg_przeplywow!G35</f>
        <v>3156930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-498448</v>
      </c>
      <c r="D22" s="58">
        <f aca="true" t="shared" si="6" ref="D22:AD22">+D6-D12</f>
        <v>630600</v>
      </c>
      <c r="E22" s="58">
        <f t="shared" si="6"/>
        <v>374626</v>
      </c>
      <c r="F22" s="58">
        <f t="shared" si="6"/>
        <v>411266</v>
      </c>
      <c r="G22" s="58">
        <f t="shared" si="6"/>
        <v>438297</v>
      </c>
      <c r="H22" s="58">
        <f t="shared" si="6"/>
        <v>1694000</v>
      </c>
      <c r="I22" s="58">
        <f t="shared" si="6"/>
        <v>1950000</v>
      </c>
      <c r="J22" s="58">
        <f t="shared" si="6"/>
        <v>2450000</v>
      </c>
      <c r="K22" s="58">
        <f t="shared" si="6"/>
        <v>500000</v>
      </c>
      <c r="L22" s="58">
        <f t="shared" si="6"/>
        <v>2566576</v>
      </c>
      <c r="M22" s="58">
        <f t="shared" si="6"/>
        <v>1693635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1770656</v>
      </c>
      <c r="D23" s="68">
        <f aca="true" t="shared" si="8" ref="D23:AD23">+D7-D13</f>
        <v>2183600</v>
      </c>
      <c r="E23" s="68">
        <f t="shared" si="8"/>
        <v>1927626</v>
      </c>
      <c r="F23" s="68">
        <f t="shared" si="8"/>
        <v>1964266</v>
      </c>
      <c r="G23" s="68">
        <f t="shared" si="8"/>
        <v>2195131</v>
      </c>
      <c r="H23" s="68">
        <f t="shared" si="8"/>
        <v>2625238</v>
      </c>
      <c r="I23" s="68">
        <f t="shared" si="8"/>
        <v>2656476</v>
      </c>
      <c r="J23" s="68">
        <f t="shared" si="8"/>
        <v>3292279</v>
      </c>
      <c r="K23" s="68">
        <f t="shared" si="8"/>
        <v>2110059</v>
      </c>
      <c r="L23" s="68">
        <f t="shared" si="8"/>
        <v>3462847</v>
      </c>
      <c r="M23" s="68">
        <f t="shared" si="8"/>
        <v>3801630</v>
      </c>
      <c r="N23" s="68">
        <f t="shared" si="8"/>
        <v>0</v>
      </c>
      <c r="O23" s="68">
        <f t="shared" si="8"/>
        <v>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0"/>
      <c r="B24" s="181" t="s">
        <v>194</v>
      </c>
      <c r="C24" s="88">
        <f>+C9-C20</f>
        <v>-2269104</v>
      </c>
      <c r="D24" s="88">
        <f aca="true" t="shared" si="10" ref="D24:AO24">+D9-D20</f>
        <v>-1553000</v>
      </c>
      <c r="E24" s="88">
        <f t="shared" si="10"/>
        <v>-1553000</v>
      </c>
      <c r="F24" s="88">
        <f t="shared" si="10"/>
        <v>-1553000</v>
      </c>
      <c r="G24" s="88">
        <f t="shared" si="10"/>
        <v>-1756834</v>
      </c>
      <c r="H24" s="88">
        <f t="shared" si="10"/>
        <v>-931238</v>
      </c>
      <c r="I24" s="88">
        <f t="shared" si="10"/>
        <v>-706476</v>
      </c>
      <c r="J24" s="88">
        <f t="shared" si="10"/>
        <v>-842279</v>
      </c>
      <c r="K24" s="88">
        <f t="shared" si="10"/>
        <v>-1610059</v>
      </c>
      <c r="L24" s="88">
        <f t="shared" si="10"/>
        <v>-896271</v>
      </c>
      <c r="M24" s="88">
        <f t="shared" si="10"/>
        <v>-2107995</v>
      </c>
      <c r="N24" s="88">
        <f t="shared" si="10"/>
        <v>0</v>
      </c>
      <c r="O24" s="88">
        <f t="shared" si="10"/>
        <v>0</v>
      </c>
      <c r="P24" s="88">
        <f t="shared" si="10"/>
        <v>0</v>
      </c>
      <c r="Q24" s="88">
        <f t="shared" si="10"/>
        <v>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3659400</v>
      </c>
      <c r="D25" s="68">
        <f aca="true" t="shared" si="11" ref="D25:AD25">+D26+D28+D30</f>
        <v>3040000</v>
      </c>
      <c r="E25" s="68">
        <f t="shared" si="11"/>
        <v>406374</v>
      </c>
      <c r="F25" s="68">
        <f t="shared" si="11"/>
        <v>985634</v>
      </c>
      <c r="G25" s="68">
        <f t="shared" si="11"/>
        <v>1061703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197</v>
      </c>
      <c r="C26" s="75">
        <f>+Zal_1_WPF_wg_przeplywow!C21</f>
        <v>0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3659400</v>
      </c>
      <c r="D28" s="75">
        <f>+Zal_1_WPF_wg_przeplywow!D36</f>
        <v>3040000</v>
      </c>
      <c r="E28" s="75">
        <f>+Zal_1_WPF_wg_przeplywow!E36</f>
        <v>406374</v>
      </c>
      <c r="F28" s="75">
        <f>+Zal_1_WPF_wg_przeplywow!F36</f>
        <v>985634</v>
      </c>
      <c r="G28" s="75">
        <f>+Zal_1_WPF_wg_przeplywow!G36</f>
        <v>1061703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498448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3160952</v>
      </c>
      <c r="D32" s="68">
        <f aca="true" t="shared" si="13" ref="D32:AD32">+D33+D35</f>
        <v>3670600</v>
      </c>
      <c r="E32" s="68">
        <f t="shared" si="13"/>
        <v>781000</v>
      </c>
      <c r="F32" s="68">
        <f t="shared" si="13"/>
        <v>1396900</v>
      </c>
      <c r="G32" s="68">
        <f t="shared" si="13"/>
        <v>1500000</v>
      </c>
      <c r="H32" s="68">
        <f t="shared" si="13"/>
        <v>1694000</v>
      </c>
      <c r="I32" s="68">
        <f t="shared" si="13"/>
        <v>1950000</v>
      </c>
      <c r="J32" s="68">
        <f t="shared" si="13"/>
        <v>2450000</v>
      </c>
      <c r="K32" s="68">
        <f t="shared" si="13"/>
        <v>500000</v>
      </c>
      <c r="L32" s="68">
        <f t="shared" si="13"/>
        <v>2566576</v>
      </c>
      <c r="M32" s="68">
        <f t="shared" si="13"/>
        <v>1693635</v>
      </c>
      <c r="N32" s="68">
        <f t="shared" si="13"/>
        <v>0</v>
      </c>
      <c r="O32" s="68">
        <f t="shared" si="13"/>
        <v>0</v>
      </c>
      <c r="P32" s="68">
        <f t="shared" si="13"/>
        <v>0</v>
      </c>
      <c r="Q32" s="68">
        <f t="shared" si="13"/>
        <v>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3160952</v>
      </c>
      <c r="D33" s="71">
        <f>+Zal_1_WPF_wg_przeplywow!D27</f>
        <v>3670600</v>
      </c>
      <c r="E33" s="71">
        <f>+Zal_1_WPF_wg_przeplywow!E27</f>
        <v>781000</v>
      </c>
      <c r="F33" s="71">
        <f>+Zal_1_WPF_wg_przeplywow!F27</f>
        <v>1396900</v>
      </c>
      <c r="G33" s="71">
        <f>+Zal_1_WPF_wg_przeplywow!G27</f>
        <v>1500000</v>
      </c>
      <c r="H33" s="71">
        <f>+Zal_1_WPF_wg_przeplywow!H27</f>
        <v>1694000</v>
      </c>
      <c r="I33" s="71">
        <f>+Zal_1_WPF_wg_przeplywow!I27</f>
        <v>1950000</v>
      </c>
      <c r="J33" s="71">
        <f>+Zal_1_WPF_wg_przeplywow!J27</f>
        <v>2450000</v>
      </c>
      <c r="K33" s="71">
        <f>+Zal_1_WPF_wg_przeplywow!K27</f>
        <v>500000</v>
      </c>
      <c r="L33" s="71">
        <f>+Zal_1_WPF_wg_przeplywow!L27</f>
        <v>2566576</v>
      </c>
      <c r="M33" s="71">
        <f>+Zal_1_WPF_wg_przeplywow!M27</f>
        <v>1693635</v>
      </c>
      <c r="N33" s="71">
        <f>+Zal_1_WPF_wg_przeplywow!N27</f>
        <v>0</v>
      </c>
      <c r="O33" s="71">
        <f>+Zal_1_WPF_wg_przeplywow!O27</f>
        <v>0</v>
      </c>
      <c r="P33" s="71">
        <f>+Zal_1_WPF_wg_przeplywow!P27</f>
        <v>0</v>
      </c>
      <c r="Q33" s="71">
        <f>+Zal_1_WPF_wg_przeplywow!Q27</f>
        <v>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12709000</v>
      </c>
      <c r="D36" s="68">
        <f>+Zal_1_WPF_wg_przeplywow!D39</f>
        <v>12078400</v>
      </c>
      <c r="E36" s="68">
        <f>+Zal_1_WPF_wg_przeplywow!E39</f>
        <v>11703774</v>
      </c>
      <c r="F36" s="68">
        <f>+Zal_1_WPF_wg_przeplywow!F39</f>
        <v>11292508</v>
      </c>
      <c r="G36" s="68">
        <f>+Zal_1_WPF_wg_przeplywow!G39</f>
        <v>10854211</v>
      </c>
      <c r="H36" s="68">
        <f>+Zal_1_WPF_wg_przeplywow!H39</f>
        <v>9160211</v>
      </c>
      <c r="I36" s="68">
        <f>+Zal_1_WPF_wg_przeplywow!I39</f>
        <v>7210211</v>
      </c>
      <c r="J36" s="68">
        <f>+Zal_1_WPF_wg_przeplywow!J39</f>
        <v>4760211</v>
      </c>
      <c r="K36" s="68">
        <f>+Zal_1_WPF_wg_przeplywow!K39</f>
        <v>4260211</v>
      </c>
      <c r="L36" s="68">
        <f>+Zal_1_WPF_wg_przeplywow!L39</f>
        <v>1693635</v>
      </c>
      <c r="M36" s="68">
        <f>+Zal_1_WPF_wg_przeplywow!M39</f>
        <v>0</v>
      </c>
      <c r="N36" s="68">
        <f>+Zal_1_WPF_wg_przeplywow!N39</f>
        <v>0</v>
      </c>
      <c r="O36" s="68">
        <f>+Zal_1_WPF_wg_przeplywow!O39</f>
        <v>0</v>
      </c>
      <c r="P36" s="68">
        <f>+Zal_1_WPF_wg_przeplywow!P39</f>
        <v>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0</v>
      </c>
      <c r="D37" s="88">
        <f>+Zal_1_WPF_wg_przeplywow!D40</f>
        <v>0</v>
      </c>
      <c r="E37" s="88">
        <f>+Zal_1_WPF_wg_przeplywow!E40</f>
        <v>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0.3999</v>
      </c>
      <c r="D39" s="90">
        <f>+Zal_1_WPF_wg_przeplywow!D46</f>
        <v>0.3861</v>
      </c>
      <c r="E39" s="90">
        <f aca="true" t="shared" si="15" ref="E39:AD39">+IF(E6&lt;&gt;0,E36/E6,"")</f>
        <v>0.3681084599807834</v>
      </c>
      <c r="F39" s="90">
        <f t="shared" si="15"/>
        <v>0.3472985649759556</v>
      </c>
      <c r="G39" s="90">
        <f t="shared" si="15"/>
        <v>0.3230536470541735</v>
      </c>
      <c r="H39" s="90">
        <f t="shared" si="15"/>
        <v>0.27765384510345836</v>
      </c>
      <c r="I39" s="90">
        <f t="shared" si="15"/>
        <v>0.21282730797303034</v>
      </c>
      <c r="J39" s="90">
        <f t="shared" si="15"/>
        <v>0.1360271322093685</v>
      </c>
      <c r="K39" s="90">
        <f t="shared" si="15"/>
        <v>0.12088651852067087</v>
      </c>
      <c r="L39" s="90">
        <f t="shared" si="15"/>
        <v>0.04574962339594306</v>
      </c>
      <c r="M39" s="90">
        <f t="shared" si="15"/>
        <v>0</v>
      </c>
      <c r="N39" s="90">
        <f t="shared" si="15"/>
      </c>
      <c r="O39" s="90">
        <f t="shared" si="15"/>
      </c>
      <c r="P39" s="90">
        <f t="shared" si="15"/>
      </c>
      <c r="Q39" s="90">
        <f t="shared" si="15"/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0.3999</v>
      </c>
      <c r="D40" s="80">
        <f>+Zal_1_WPF_wg_przeplywow!D47</f>
        <v>0.3861</v>
      </c>
      <c r="E40" s="80">
        <f aca="true" t="shared" si="17" ref="E40:AD40">+IF(E6&lt;&gt;0,(E36-E38)/E6,"")</f>
        <v>0.3681084599807834</v>
      </c>
      <c r="F40" s="80">
        <f t="shared" si="17"/>
        <v>0.3472985649759556</v>
      </c>
      <c r="G40" s="80">
        <f t="shared" si="17"/>
        <v>0.3230536470541735</v>
      </c>
      <c r="H40" s="80">
        <f t="shared" si="17"/>
        <v>0.27765384510345836</v>
      </c>
      <c r="I40" s="80">
        <f t="shared" si="17"/>
        <v>0.21282730797303034</v>
      </c>
      <c r="J40" s="80">
        <f t="shared" si="17"/>
        <v>0.1360271322093685</v>
      </c>
      <c r="K40" s="80">
        <f t="shared" si="17"/>
        <v>0.12088651852067087</v>
      </c>
      <c r="L40" s="80">
        <f t="shared" si="17"/>
        <v>0.04574962339594306</v>
      </c>
      <c r="M40" s="80">
        <f t="shared" si="17"/>
        <v>0</v>
      </c>
      <c r="N40" s="80">
        <f t="shared" si="17"/>
      </c>
      <c r="O40" s="80">
        <f t="shared" si="17"/>
      </c>
      <c r="P40" s="80">
        <f t="shared" si="17"/>
      </c>
      <c r="Q40" s="80">
        <f t="shared" si="17"/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0.1183</v>
      </c>
      <c r="D41" s="80">
        <f>+Zal_1_WPF_wg_przeplywow!D48</f>
        <v>0.14</v>
      </c>
      <c r="E41" s="80">
        <f aca="true" t="shared" si="19" ref="E41:AD41">+IF(E6&lt;&gt;0,(E19+E16+E33)/E6,"")</f>
        <v>0.04343537249040026</v>
      </c>
      <c r="F41" s="80">
        <f t="shared" si="19"/>
        <v>0.059261379744178076</v>
      </c>
      <c r="G41" s="80">
        <f t="shared" si="19"/>
        <v>0.059228326926554616</v>
      </c>
      <c r="H41" s="80">
        <f t="shared" si="19"/>
        <v>0.061955391572472394</v>
      </c>
      <c r="I41" s="80">
        <f t="shared" si="19"/>
        <v>0.06493847094636575</v>
      </c>
      <c r="J41" s="80">
        <f t="shared" si="19"/>
        <v>0.07343996511458778</v>
      </c>
      <c r="K41" s="80">
        <f t="shared" si="19"/>
        <v>0.020328359761572518</v>
      </c>
      <c r="L41" s="80">
        <f t="shared" si="19"/>
        <v>0.07284174952604223</v>
      </c>
      <c r="M41" s="80">
        <f t="shared" si="19"/>
        <v>0.04756421924248152</v>
      </c>
      <c r="N41" s="80">
        <f t="shared" si="19"/>
      </c>
      <c r="O41" s="80">
        <f t="shared" si="19"/>
      </c>
      <c r="P41" s="80">
        <f t="shared" si="19"/>
      </c>
      <c r="Q41" s="80">
        <f t="shared" si="19"/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0.1183</v>
      </c>
      <c r="D42" s="92">
        <f>+Zal_1_WPF_wg_przeplywow!D49</f>
        <v>0.14</v>
      </c>
      <c r="E42" s="92">
        <f aca="true" t="shared" si="21" ref="E42:AD42">+IF(E6&lt;&gt;0,(E19+E16+E33-E17-E34)/E6,"")</f>
        <v>0.04343537249040026</v>
      </c>
      <c r="F42" s="92">
        <f t="shared" si="21"/>
        <v>0.059261379744178076</v>
      </c>
      <c r="G42" s="92">
        <f t="shared" si="21"/>
        <v>0.059228326926554616</v>
      </c>
      <c r="H42" s="92">
        <f t="shared" si="21"/>
        <v>0.061955391572472394</v>
      </c>
      <c r="I42" s="92">
        <f t="shared" si="21"/>
        <v>0.06493847094636575</v>
      </c>
      <c r="J42" s="92">
        <f t="shared" si="21"/>
        <v>0.07343996511458778</v>
      </c>
      <c r="K42" s="92">
        <f t="shared" si="21"/>
        <v>0.020328359761572518</v>
      </c>
      <c r="L42" s="92">
        <f t="shared" si="21"/>
        <v>0.07284174952604223</v>
      </c>
      <c r="M42" s="92">
        <f t="shared" si="21"/>
        <v>0.04756421924248152</v>
      </c>
      <c r="N42" s="92">
        <f t="shared" si="21"/>
      </c>
      <c r="O42" s="92">
        <f t="shared" si="21"/>
      </c>
      <c r="P42" s="92">
        <f t="shared" si="21"/>
      </c>
      <c r="Q42" s="92">
        <f t="shared" si="21"/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168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0.0931</v>
      </c>
      <c r="D44" s="90">
        <f>+Zal_1_WPF_wg_przeplywow!D51</f>
        <v>0.0573</v>
      </c>
      <c r="E44" s="90">
        <f>+Zal_1_WPF_wg_przeplywow!E51</f>
        <v>0.0453</v>
      </c>
      <c r="F44" s="90">
        <f>+Zal_1_WPF_wg_przeplywow!F51</f>
        <v>0.062</v>
      </c>
      <c r="G44" s="90">
        <f>+Zal_1_WPF_wg_przeplywow!G51</f>
        <v>0.0636</v>
      </c>
      <c r="H44" s="90">
        <f>+Zal_1_WPF_wg_przeplywow!H51</f>
        <v>0.0621</v>
      </c>
      <c r="I44" s="90">
        <f>+Zal_1_WPF_wg_przeplywow!I51</f>
        <v>0.0684</v>
      </c>
      <c r="J44" s="90">
        <f>+Zal_1_WPF_wg_przeplywow!J51</f>
        <v>0.0744</v>
      </c>
      <c r="K44" s="90">
        <f>+Zal_1_WPF_wg_przeplywow!K51</f>
        <v>0.084</v>
      </c>
      <c r="L44" s="90">
        <f>+Zal_1_WPF_wg_przeplywow!L51</f>
        <v>0.0775</v>
      </c>
      <c r="M44" s="90">
        <f>+Zal_1_WPF_wg_przeplywow!M51</f>
        <v>0.0825</v>
      </c>
      <c r="N44" s="90">
        <f>+Zal_1_WPF_wg_przeplywow!N51</f>
        <v>0</v>
      </c>
      <c r="O44" s="90">
        <f>+Zal_1_WPF_wg_przeplywow!O51</f>
        <v>0</v>
      </c>
      <c r="P44" s="90">
        <f>+Zal_1_WPF_wg_przeplywow!P51</f>
        <v>0</v>
      </c>
      <c r="Q44" s="90">
        <f>+Zal_1_WPF_wg_przeplywow!Q51</f>
        <v>0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0.0557</v>
      </c>
      <c r="D45" s="80">
        <f>+Zal_1_WPF_wg_przeplywow!D50</f>
        <v>0.0698</v>
      </c>
      <c r="E45" s="80">
        <f>+Zal_1_WPF_wg_przeplywow!E50</f>
        <v>0.0606</v>
      </c>
      <c r="F45" s="80">
        <f>+Zal_1_WPF_wg_przeplywow!F50</f>
        <v>0.0604</v>
      </c>
      <c r="G45" s="80">
        <f>+Zal_1_WPF_wg_przeplywow!G50</f>
        <v>0.0653</v>
      </c>
      <c r="H45" s="80">
        <f>+Zal_1_WPF_wg_przeplywow!H50</f>
        <v>0.0796</v>
      </c>
      <c r="I45" s="80">
        <f>+Zal_1_WPF_wg_przeplywow!I50</f>
        <v>0.0784</v>
      </c>
      <c r="J45" s="80">
        <f>+Zal_1_WPF_wg_przeplywow!J50</f>
        <v>0.0941</v>
      </c>
      <c r="K45" s="80">
        <f>+Zal_1_WPF_wg_przeplywow!K50</f>
        <v>0.0599</v>
      </c>
      <c r="L45" s="80">
        <f>+Zal_1_WPF_wg_przeplywow!L50</f>
        <v>0.0935</v>
      </c>
      <c r="M45" s="80">
        <f>+Zal_1_WPF_wg_przeplywow!M50</f>
        <v>0.0997</v>
      </c>
      <c r="N45" s="80">
        <f>+Zal_1_WPF_wg_przeplywow!N50</f>
        <v>0</v>
      </c>
      <c r="O45" s="80">
        <f>+Zal_1_WPF_wg_przeplywow!O50</f>
        <v>0</v>
      </c>
      <c r="P45" s="80">
        <f>+Zal_1_WPF_wg_przeplywow!P50</f>
        <v>0</v>
      </c>
      <c r="Q45" s="80">
        <f>+Zal_1_WPF_wg_przeplywow!Q50</f>
        <v>0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0.1183</v>
      </c>
      <c r="D46" s="80">
        <f>+Zal_1_WPF_wg_przeplywow!D52</f>
        <v>0.14</v>
      </c>
      <c r="E46" s="80">
        <f>+Zal_1_WPF_wg_przeplywow!E52</f>
        <v>0.0434</v>
      </c>
      <c r="F46" s="80">
        <f>+Zal_1_WPF_wg_przeplywow!F52</f>
        <v>0.0593</v>
      </c>
      <c r="G46" s="80">
        <f>+Zal_1_WPF_wg_przeplywow!G52</f>
        <v>0.0592</v>
      </c>
      <c r="H46" s="80">
        <f>+Zal_1_WPF_wg_przeplywow!H52</f>
        <v>0.062</v>
      </c>
      <c r="I46" s="80">
        <f>+Zal_1_WPF_wg_przeplywow!I52</f>
        <v>0.0649</v>
      </c>
      <c r="J46" s="80">
        <f>+Zal_1_WPF_wg_przeplywow!J52</f>
        <v>0.0734</v>
      </c>
      <c r="K46" s="80">
        <f>+Zal_1_WPF_wg_przeplywow!K52</f>
        <v>0.0203</v>
      </c>
      <c r="L46" s="80">
        <f>+Zal_1_WPF_wg_przeplywow!L52</f>
        <v>0.0728</v>
      </c>
      <c r="M46" s="80">
        <f>+Zal_1_WPF_wg_przeplywow!M52</f>
        <v>0.0476</v>
      </c>
      <c r="N46" s="80">
        <f>+Zal_1_WPF_wg_przeplywow!N52</f>
        <v>0</v>
      </c>
      <c r="O46" s="80">
        <f>+Zal_1_WPF_wg_przeplywow!O52</f>
        <v>0</v>
      </c>
      <c r="P46" s="80">
        <f>+Zal_1_WPF_wg_przeplywow!P52</f>
        <v>0</v>
      </c>
      <c r="Q46" s="80">
        <f>+Zal_1_WPF_wg_przeplywow!Q52</f>
        <v>0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Nie spełnia art. 243</v>
      </c>
      <c r="D47" s="82" t="str">
        <f aca="true" t="shared" si="23" ref="D47:AD47">IF(D46&lt;=D$44,"Spełnia  art. 243","Nie spełnia art. 243")</f>
        <v>Nie spełnia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0.1183</v>
      </c>
      <c r="D48" s="80">
        <f>+Zal_1_WPF_wg_przeplywow!D54</f>
        <v>0.14</v>
      </c>
      <c r="E48" s="80">
        <f>+Zal_1_WPF_wg_przeplywow!E54</f>
        <v>0.0434</v>
      </c>
      <c r="F48" s="80">
        <f>+Zal_1_WPF_wg_przeplywow!F54</f>
        <v>0.0593</v>
      </c>
      <c r="G48" s="80">
        <f>+Zal_1_WPF_wg_przeplywow!G54</f>
        <v>0.0592</v>
      </c>
      <c r="H48" s="80">
        <f>+Zal_1_WPF_wg_przeplywow!H54</f>
        <v>0.062</v>
      </c>
      <c r="I48" s="80">
        <f>+Zal_1_WPF_wg_przeplywow!I54</f>
        <v>0.0649</v>
      </c>
      <c r="J48" s="80">
        <f>+Zal_1_WPF_wg_przeplywow!J54</f>
        <v>0.0734</v>
      </c>
      <c r="K48" s="80">
        <f>+Zal_1_WPF_wg_przeplywow!K54</f>
        <v>0.0203</v>
      </c>
      <c r="L48" s="80">
        <f>+Zal_1_WPF_wg_przeplywow!L54</f>
        <v>0.0728</v>
      </c>
      <c r="M48" s="80">
        <f>+Zal_1_WPF_wg_przeplywow!M54</f>
        <v>0.0476</v>
      </c>
      <c r="N48" s="80">
        <f>+Zal_1_WPF_wg_przeplywow!N54</f>
        <v>0</v>
      </c>
      <c r="O48" s="80">
        <f>+Zal_1_WPF_wg_przeplywow!O54</f>
        <v>0</v>
      </c>
      <c r="P48" s="80">
        <f>+Zal_1_WPF_wg_przeplywow!P54</f>
        <v>0</v>
      </c>
      <c r="Q48" s="80">
        <f>+Zal_1_WPF_wg_przeplywow!Q54</f>
        <v>0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Nie spełnia art. 243</v>
      </c>
      <c r="D49" s="82" t="str">
        <f aca="true" t="shared" si="25" ref="D49:AD49">IF(D48&lt;=D$44,"Spełnia  art. 243","Nie spełnia art. 243")</f>
        <v>Nie spełnia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14686122</v>
      </c>
      <c r="D51" s="71">
        <f>+Zal_1_WPF_wg_przeplywow!D14</f>
        <v>15133162</v>
      </c>
      <c r="E51" s="71">
        <f>+Zal_1_WPF_wg_przeplywow!E14</f>
        <v>15541758</v>
      </c>
      <c r="F51" s="71">
        <f>+Zal_1_WPF_wg_przeplywow!F14</f>
        <v>15961385</v>
      </c>
      <c r="G51" s="71">
        <f>+Zal_1_WPF_wg_przeplywow!G14</f>
        <v>16392342</v>
      </c>
      <c r="H51" s="71">
        <f>+Zal_1_WPF_wg_przeplywow!H14</f>
        <v>16834936</v>
      </c>
      <c r="I51" s="71">
        <f>+Zal_1_WPF_wg_przeplywow!I14</f>
        <v>17272644</v>
      </c>
      <c r="J51" s="71">
        <f>+Zal_1_WPF_wg_przeplywow!J14</f>
        <v>17721733</v>
      </c>
      <c r="K51" s="71">
        <f>+Zal_1_WPF_wg_przeplywow!K14</f>
        <v>18041291</v>
      </c>
      <c r="L51" s="71">
        <f>+Zal_1_WPF_wg_przeplywow!L14</f>
        <v>18456241</v>
      </c>
      <c r="M51" s="71">
        <f>+Zal_1_WPF_wg_przeplywow!M14</f>
        <v>18880734</v>
      </c>
      <c r="N51" s="71">
        <f>+Zal_1_WPF_wg_przeplywow!N14</f>
        <v>0</v>
      </c>
      <c r="O51" s="71">
        <f>+Zal_1_WPF_wg_przeplywow!O14</f>
        <v>0</v>
      </c>
      <c r="P51" s="71">
        <f>+Zal_1_WPF_wg_przeplywow!P14</f>
        <v>0</v>
      </c>
      <c r="Q51" s="71">
        <f>+Zal_1_WPF_wg_przeplywow!Q14</f>
        <v>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2954061</v>
      </c>
      <c r="D52" s="71">
        <f>+Zal_1_WPF_wg_przeplywow!D15</f>
        <v>3023685</v>
      </c>
      <c r="E52" s="71">
        <f>+Zal_1_WPF_wg_przeplywow!E15</f>
        <v>3102301</v>
      </c>
      <c r="F52" s="71">
        <f>+Zal_1_WPF_wg_przeplywow!F15</f>
        <v>3182961</v>
      </c>
      <c r="G52" s="71">
        <f>+Zal_1_WPF_wg_przeplywow!G15</f>
        <v>3265718</v>
      </c>
      <c r="H52" s="71">
        <f>+Zal_1_WPF_wg_przeplywow!H15</f>
        <v>3350627</v>
      </c>
      <c r="I52" s="71">
        <f>+Zal_1_WPF_wg_przeplywow!I15</f>
        <v>3434392</v>
      </c>
      <c r="J52" s="71">
        <f>+Zal_1_WPF_wg_przeplywow!J15</f>
        <v>3520252</v>
      </c>
      <c r="K52" s="71">
        <f>+Zal_1_WPF_wg_przeplywow!K15</f>
        <v>3608258</v>
      </c>
      <c r="L52" s="71">
        <f>+Zal_1_WPF_wg_przeplywow!L15</f>
        <v>3691248</v>
      </c>
      <c r="M52" s="71">
        <f>+Zal_1_WPF_wg_przeplywow!M15</f>
        <v>3776147</v>
      </c>
      <c r="N52" s="71">
        <f>+Zal_1_WPF_wg_przeplywow!N15</f>
        <v>0</v>
      </c>
      <c r="O52" s="71">
        <f>+Zal_1_WPF_wg_przeplywow!O15</f>
        <v>0</v>
      </c>
      <c r="P52" s="71">
        <f>+Zal_1_WPF_wg_przeplywow!P15</f>
        <v>0</v>
      </c>
      <c r="Q52" s="71">
        <f>+Zal_1_WPF_wg_przeplywow!Q15</f>
        <v>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1244420</v>
      </c>
      <c r="D53" s="71">
        <f>+Zal_1_WPF_wg_przeplywow!D18</f>
        <v>460000</v>
      </c>
      <c r="E53" s="71">
        <f>+Zal_1_WPF_wg_przeplywow!E18</f>
        <v>200000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3505000</v>
      </c>
      <c r="D54" s="85">
        <f>+Zal_1_WPF_wg_przeplywow!D34</f>
        <v>3068000</v>
      </c>
      <c r="E54" s="85">
        <f>+Zal_1_WPF_wg_przeplywow!E34</f>
        <v>3068000</v>
      </c>
      <c r="F54" s="85">
        <f>+Zal_1_WPF_wg_przeplywow!F34</f>
        <v>3068000</v>
      </c>
      <c r="G54" s="85">
        <f>+Zal_1_WPF_wg_przeplywow!G34</f>
        <v>3372147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198</v>
      </c>
      <c r="C55" s="58">
        <f>+Zal_1_WPF_wg_przeplywow!C43</f>
        <v>0</v>
      </c>
      <c r="D55" s="58">
        <f>+Zal_1_WPF_wg_przeplywow!D43</f>
        <v>630600</v>
      </c>
      <c r="E55" s="58">
        <f>+Zal_1_WPF_wg_przeplywow!E43</f>
        <v>374626</v>
      </c>
      <c r="F55" s="58">
        <f>+Zal_1_WPF_wg_przeplywow!F43</f>
        <v>411266</v>
      </c>
      <c r="G55" s="58">
        <f>+Zal_1_WPF_wg_przeplywow!G43</f>
        <v>438297</v>
      </c>
      <c r="H55" s="58">
        <f>+Zal_1_WPF_wg_przeplywow!H43</f>
        <v>1694000</v>
      </c>
      <c r="I55" s="58">
        <f>+Zal_1_WPF_wg_przeplywow!I43</f>
        <v>1950000</v>
      </c>
      <c r="J55" s="58">
        <f>+Zal_1_WPF_wg_przeplywow!J43</f>
        <v>2450000</v>
      </c>
      <c r="K55" s="58">
        <f>+Zal_1_WPF_wg_przeplywow!K43</f>
        <v>500000</v>
      </c>
      <c r="L55" s="58">
        <f>+Zal_1_WPF_wg_przeplywow!L43</f>
        <v>2566576</v>
      </c>
      <c r="M55" s="58">
        <f>+Zal_1_WPF_wg_przeplywow!M43</f>
        <v>1693635</v>
      </c>
      <c r="N55" s="58">
        <f>+Zal_1_WPF_wg_przeplywow!N43</f>
        <v>0</v>
      </c>
      <c r="O55" s="58">
        <f>+Zal_1_WPF_wg_przeplywow!O43</f>
        <v>0</v>
      </c>
      <c r="P55" s="58">
        <f>+Zal_1_WPF_wg_przeplywow!P43</f>
        <v>0</v>
      </c>
      <c r="Q55" s="58">
        <f>+Zal_1_WPF_wg_przeplywow!Q43</f>
        <v>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164</v>
      </c>
    </row>
    <row r="61" ht="12">
      <c r="B61" s="46"/>
    </row>
    <row r="63" ht="12">
      <c r="B63" s="22" t="s">
        <v>183</v>
      </c>
    </row>
    <row r="64" ht="12">
      <c r="B64" s="163" t="s">
        <v>189</v>
      </c>
    </row>
    <row r="65" ht="12">
      <c r="B65" s="162" t="s">
        <v>190</v>
      </c>
    </row>
    <row r="67" spans="2:41" ht="12">
      <c r="B67" s="164" t="s">
        <v>170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>
      <c r="B68" s="217" t="s">
        <v>230</v>
      </c>
      <c r="C68" s="216" t="str">
        <f>IF(C41&lt;=15%,"OK.","Przekroczenie")</f>
        <v>OK.</v>
      </c>
      <c r="D68" s="216" t="str">
        <f>IF(D41&lt;=15%,"OK.","Przekroczenie")</f>
        <v>OK.</v>
      </c>
      <c r="E68" s="218" t="s">
        <v>209</v>
      </c>
      <c r="F68" s="218" t="s">
        <v>209</v>
      </c>
      <c r="G68" s="218" t="s">
        <v>209</v>
      </c>
      <c r="H68" s="218" t="s">
        <v>209</v>
      </c>
      <c r="I68" s="218" t="s">
        <v>209</v>
      </c>
      <c r="J68" s="218" t="s">
        <v>209</v>
      </c>
      <c r="K68" s="218" t="s">
        <v>209</v>
      </c>
      <c r="L68" s="218" t="s">
        <v>209</v>
      </c>
      <c r="M68" s="218" t="s">
        <v>209</v>
      </c>
      <c r="N68" s="218" t="s">
        <v>209</v>
      </c>
      <c r="O68" s="218" t="s">
        <v>209</v>
      </c>
      <c r="P68" s="218" t="s">
        <v>209</v>
      </c>
      <c r="Q68" s="218" t="s">
        <v>209</v>
      </c>
      <c r="R68" s="218" t="s">
        <v>209</v>
      </c>
      <c r="S68" s="218" t="s">
        <v>209</v>
      </c>
      <c r="T68" s="218" t="s">
        <v>209</v>
      </c>
      <c r="U68" s="218" t="s">
        <v>209</v>
      </c>
      <c r="V68" s="218" t="s">
        <v>209</v>
      </c>
      <c r="W68" s="218" t="s">
        <v>209</v>
      </c>
      <c r="X68" s="218" t="s">
        <v>209</v>
      </c>
      <c r="Y68" s="218" t="s">
        <v>209</v>
      </c>
      <c r="Z68" s="218" t="s">
        <v>209</v>
      </c>
      <c r="AA68" s="218" t="s">
        <v>209</v>
      </c>
      <c r="AB68" s="218" t="s">
        <v>209</v>
      </c>
      <c r="AC68" s="218" t="s">
        <v>209</v>
      </c>
      <c r="AD68" s="218" t="s">
        <v>209</v>
      </c>
      <c r="AE68" s="218" t="s">
        <v>209</v>
      </c>
      <c r="AF68" s="218" t="s">
        <v>209</v>
      </c>
      <c r="AG68" s="218" t="s">
        <v>209</v>
      </c>
      <c r="AH68" s="218" t="s">
        <v>209</v>
      </c>
      <c r="AI68" s="218" t="s">
        <v>209</v>
      </c>
      <c r="AJ68" s="218" t="s">
        <v>209</v>
      </c>
      <c r="AK68" s="218" t="s">
        <v>209</v>
      </c>
      <c r="AL68" s="218" t="s">
        <v>209</v>
      </c>
      <c r="AM68" s="218" t="s">
        <v>209</v>
      </c>
      <c r="AN68" s="218" t="s">
        <v>209</v>
      </c>
      <c r="AO68" s="218" t="s">
        <v>209</v>
      </c>
    </row>
    <row r="69" spans="2:41" ht="12">
      <c r="B69" s="217" t="s">
        <v>231</v>
      </c>
      <c r="C69" s="216" t="str">
        <f>IF(C42&lt;=15%,"OK.","Przekroczenie")</f>
        <v>OK.</v>
      </c>
      <c r="D69" s="216" t="str">
        <f>IF(D42&lt;=15%,"OK.","Przekroczenie")</f>
        <v>OK.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  <c r="Q69" s="218" t="s">
        <v>209</v>
      </c>
      <c r="R69" s="218" t="s">
        <v>209</v>
      </c>
      <c r="S69" s="218" t="s">
        <v>209</v>
      </c>
      <c r="T69" s="218" t="s">
        <v>209</v>
      </c>
      <c r="U69" s="218" t="s">
        <v>209</v>
      </c>
      <c r="V69" s="218" t="s">
        <v>209</v>
      </c>
      <c r="W69" s="218" t="s">
        <v>209</v>
      </c>
      <c r="X69" s="218" t="s">
        <v>209</v>
      </c>
      <c r="Y69" s="218" t="s">
        <v>209</v>
      </c>
      <c r="Z69" s="218" t="s">
        <v>209</v>
      </c>
      <c r="AA69" s="218" t="s">
        <v>209</v>
      </c>
      <c r="AB69" s="218" t="s">
        <v>209</v>
      </c>
      <c r="AC69" s="218" t="s">
        <v>209</v>
      </c>
      <c r="AD69" s="218" t="s">
        <v>209</v>
      </c>
      <c r="AE69" s="218" t="s">
        <v>209</v>
      </c>
      <c r="AF69" s="218" t="s">
        <v>209</v>
      </c>
      <c r="AG69" s="218" t="s">
        <v>209</v>
      </c>
      <c r="AH69" s="218" t="s">
        <v>209</v>
      </c>
      <c r="AI69" s="218" t="s">
        <v>209</v>
      </c>
      <c r="AJ69" s="218" t="s">
        <v>209</v>
      </c>
      <c r="AK69" s="218" t="s">
        <v>209</v>
      </c>
      <c r="AL69" s="218" t="s">
        <v>209</v>
      </c>
      <c r="AM69" s="218" t="s">
        <v>209</v>
      </c>
      <c r="AN69" s="218" t="s">
        <v>209</v>
      </c>
      <c r="AO69" s="218" t="s">
        <v>209</v>
      </c>
    </row>
    <row r="70" spans="2:41" ht="12">
      <c r="B70" s="217" t="s">
        <v>228</v>
      </c>
      <c r="C70" s="216" t="str">
        <f>IF(C39&lt;=60%,"OK.","Przekroczenie")</f>
        <v>OK.</v>
      </c>
      <c r="D70" s="216" t="str">
        <f>IF(D39&lt;=60%,"OK.","Przekroczenie")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  <c r="Q70" s="218" t="s">
        <v>209</v>
      </c>
      <c r="R70" s="218" t="s">
        <v>209</v>
      </c>
      <c r="S70" s="218" t="s">
        <v>209</v>
      </c>
      <c r="T70" s="218" t="s">
        <v>209</v>
      </c>
      <c r="U70" s="218" t="s">
        <v>209</v>
      </c>
      <c r="V70" s="218" t="s">
        <v>209</v>
      </c>
      <c r="W70" s="218" t="s">
        <v>209</v>
      </c>
      <c r="X70" s="218" t="s">
        <v>209</v>
      </c>
      <c r="Y70" s="218" t="s">
        <v>209</v>
      </c>
      <c r="Z70" s="218" t="s">
        <v>209</v>
      </c>
      <c r="AA70" s="218" t="s">
        <v>209</v>
      </c>
      <c r="AB70" s="218" t="s">
        <v>209</v>
      </c>
      <c r="AC70" s="218" t="s">
        <v>209</v>
      </c>
      <c r="AD70" s="218" t="s">
        <v>209</v>
      </c>
      <c r="AE70" s="218" t="s">
        <v>209</v>
      </c>
      <c r="AF70" s="218" t="s">
        <v>209</v>
      </c>
      <c r="AG70" s="218" t="s">
        <v>209</v>
      </c>
      <c r="AH70" s="218" t="s">
        <v>209</v>
      </c>
      <c r="AI70" s="218" t="s">
        <v>209</v>
      </c>
      <c r="AJ70" s="218" t="s">
        <v>209</v>
      </c>
      <c r="AK70" s="218" t="s">
        <v>209</v>
      </c>
      <c r="AL70" s="218" t="s">
        <v>209</v>
      </c>
      <c r="AM70" s="218" t="s">
        <v>209</v>
      </c>
      <c r="AN70" s="218" t="s">
        <v>209</v>
      </c>
      <c r="AO70" s="218" t="s">
        <v>209</v>
      </c>
    </row>
    <row r="71" spans="2:41" ht="12">
      <c r="B71" s="217" t="s">
        <v>232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  <c r="Q71" s="218" t="s">
        <v>209</v>
      </c>
      <c r="R71" s="218" t="s">
        <v>209</v>
      </c>
      <c r="S71" s="218" t="s">
        <v>209</v>
      </c>
      <c r="T71" s="218" t="s">
        <v>209</v>
      </c>
      <c r="U71" s="218" t="s">
        <v>209</v>
      </c>
      <c r="V71" s="218" t="s">
        <v>209</v>
      </c>
      <c r="W71" s="218" t="s">
        <v>209</v>
      </c>
      <c r="X71" s="218" t="s">
        <v>209</v>
      </c>
      <c r="Y71" s="218" t="s">
        <v>209</v>
      </c>
      <c r="Z71" s="218" t="s">
        <v>209</v>
      </c>
      <c r="AA71" s="218" t="s">
        <v>209</v>
      </c>
      <c r="AB71" s="218" t="s">
        <v>209</v>
      </c>
      <c r="AC71" s="218" t="s">
        <v>209</v>
      </c>
      <c r="AD71" s="218" t="s">
        <v>209</v>
      </c>
      <c r="AE71" s="218" t="s">
        <v>209</v>
      </c>
      <c r="AF71" s="218" t="s">
        <v>209</v>
      </c>
      <c r="AG71" s="218" t="s">
        <v>209</v>
      </c>
      <c r="AH71" s="218" t="s">
        <v>209</v>
      </c>
      <c r="AI71" s="218" t="s">
        <v>209</v>
      </c>
      <c r="AJ71" s="218" t="s">
        <v>209</v>
      </c>
      <c r="AK71" s="218" t="s">
        <v>209</v>
      </c>
      <c r="AL71" s="218" t="s">
        <v>209</v>
      </c>
      <c r="AM71" s="218" t="s">
        <v>209</v>
      </c>
      <c r="AN71" s="218" t="s">
        <v>209</v>
      </c>
      <c r="AO71" s="218" t="s">
        <v>209</v>
      </c>
    </row>
    <row r="72" spans="2:41" ht="33.75">
      <c r="B72" s="217" t="s">
        <v>229</v>
      </c>
      <c r="C72" s="216" t="str">
        <f>IF((C7+C27)&gt;=C13,"OK.",C7+C27-C13)</f>
        <v>OK.</v>
      </c>
      <c r="D72" s="216" t="str">
        <f aca="true" t="shared" si="28" ref="D72:AO72">IF((D7+D27)&gt;=D13,"OK.",D7+D27-D13)</f>
        <v>OK.</v>
      </c>
      <c r="E72" s="216" t="str">
        <f t="shared" si="28"/>
        <v>OK.</v>
      </c>
      <c r="F72" s="216" t="str">
        <f t="shared" si="28"/>
        <v>OK.</v>
      </c>
      <c r="G72" s="216" t="str">
        <f t="shared" si="28"/>
        <v>OK.</v>
      </c>
      <c r="H72" s="216" t="str">
        <f t="shared" si="28"/>
        <v>OK.</v>
      </c>
      <c r="I72" s="216" t="str">
        <f t="shared" si="28"/>
        <v>OK.</v>
      </c>
      <c r="J72" s="216" t="str">
        <f t="shared" si="28"/>
        <v>OK.</v>
      </c>
      <c r="K72" s="216" t="str">
        <f t="shared" si="28"/>
        <v>OK.</v>
      </c>
      <c r="L72" s="216" t="str">
        <f t="shared" si="28"/>
        <v>OK.</v>
      </c>
      <c r="M72" s="216" t="str">
        <f t="shared" si="28"/>
        <v>OK.</v>
      </c>
      <c r="N72" s="216" t="str">
        <f t="shared" si="28"/>
        <v>OK.</v>
      </c>
      <c r="O72" s="216" t="str">
        <f t="shared" si="28"/>
        <v>OK.</v>
      </c>
      <c r="P72" s="216" t="str">
        <f t="shared" si="28"/>
        <v>OK.</v>
      </c>
      <c r="Q72" s="216" t="str">
        <f t="shared" si="28"/>
        <v>OK.</v>
      </c>
      <c r="R72" s="216" t="str">
        <f t="shared" si="28"/>
        <v>OK.</v>
      </c>
      <c r="S72" s="216" t="str">
        <f t="shared" si="28"/>
        <v>OK.</v>
      </c>
      <c r="T72" s="216" t="str">
        <f t="shared" si="28"/>
        <v>OK.</v>
      </c>
      <c r="U72" s="216" t="str">
        <f t="shared" si="28"/>
        <v>OK.</v>
      </c>
      <c r="V72" s="216" t="str">
        <f t="shared" si="28"/>
        <v>OK.</v>
      </c>
      <c r="W72" s="216" t="str">
        <f t="shared" si="28"/>
        <v>OK.</v>
      </c>
      <c r="X72" s="216" t="str">
        <f t="shared" si="28"/>
        <v>OK.</v>
      </c>
      <c r="Y72" s="216" t="str">
        <f t="shared" si="28"/>
        <v>OK.</v>
      </c>
      <c r="Z72" s="216" t="str">
        <f t="shared" si="28"/>
        <v>OK.</v>
      </c>
      <c r="AA72" s="216" t="str">
        <f t="shared" si="28"/>
        <v>OK.</v>
      </c>
      <c r="AB72" s="216" t="str">
        <f t="shared" si="28"/>
        <v>OK.</v>
      </c>
      <c r="AC72" s="216" t="str">
        <f t="shared" si="28"/>
        <v>OK.</v>
      </c>
      <c r="AD72" s="216" t="str">
        <f t="shared" si="28"/>
        <v>OK.</v>
      </c>
      <c r="AE72" s="216" t="str">
        <f t="shared" si="28"/>
        <v>OK.</v>
      </c>
      <c r="AF72" s="216" t="str">
        <f t="shared" si="28"/>
        <v>OK.</v>
      </c>
      <c r="AG72" s="216" t="str">
        <f t="shared" si="28"/>
        <v>OK.</v>
      </c>
      <c r="AH72" s="216" t="str">
        <f t="shared" si="28"/>
        <v>OK.</v>
      </c>
      <c r="AI72" s="216" t="str">
        <f t="shared" si="28"/>
        <v>OK.</v>
      </c>
      <c r="AJ72" s="216" t="str">
        <f t="shared" si="28"/>
        <v>OK.</v>
      </c>
      <c r="AK72" s="216" t="str">
        <f t="shared" si="28"/>
        <v>OK.</v>
      </c>
      <c r="AL72" s="216" t="str">
        <f t="shared" si="28"/>
        <v>OK.</v>
      </c>
      <c r="AM72" s="216" t="str">
        <f t="shared" si="28"/>
        <v>OK.</v>
      </c>
      <c r="AN72" s="216" t="str">
        <f t="shared" si="28"/>
        <v>OK.</v>
      </c>
      <c r="AO72" s="216" t="str">
        <f t="shared" si="28"/>
        <v>OK.</v>
      </c>
    </row>
    <row r="73" spans="2:41" ht="22.5">
      <c r="B73" s="167" t="s">
        <v>191</v>
      </c>
      <c r="C73" s="166" t="str">
        <f>+IF(C22&gt;0,IF((C31+C29+C27)&gt;0,"Błąd","OK."),"nie dotyczy")</f>
        <v>nie dotyczy</v>
      </c>
      <c r="D73" s="166" t="str">
        <f aca="true" t="shared" si="29" ref="D73:AO73">+IF(D22&gt;0,IF((D31+D29+D27)&gt;0,"Błąd","OK."),"nie dotyczy")</f>
        <v>OK.</v>
      </c>
      <c r="E73" s="166" t="str">
        <f t="shared" si="29"/>
        <v>OK.</v>
      </c>
      <c r="F73" s="166" t="str">
        <f t="shared" si="29"/>
        <v>OK.</v>
      </c>
      <c r="G73" s="166" t="str">
        <f t="shared" si="29"/>
        <v>OK.</v>
      </c>
      <c r="H73" s="166" t="str">
        <f t="shared" si="29"/>
        <v>OK.</v>
      </c>
      <c r="I73" s="166" t="str">
        <f t="shared" si="29"/>
        <v>OK.</v>
      </c>
      <c r="J73" s="166" t="str">
        <f t="shared" si="29"/>
        <v>OK.</v>
      </c>
      <c r="K73" s="166" t="str">
        <f t="shared" si="29"/>
        <v>OK.</v>
      </c>
      <c r="L73" s="166" t="str">
        <f t="shared" si="29"/>
        <v>OK.</v>
      </c>
      <c r="M73" s="166" t="str">
        <f t="shared" si="29"/>
        <v>OK.</v>
      </c>
      <c r="N73" s="166" t="str">
        <f t="shared" si="29"/>
        <v>nie dotyczy</v>
      </c>
      <c r="O73" s="166" t="str">
        <f t="shared" si="29"/>
        <v>nie dotyczy</v>
      </c>
      <c r="P73" s="166" t="str">
        <f t="shared" si="29"/>
        <v>nie dotyczy</v>
      </c>
      <c r="Q73" s="166" t="str">
        <f t="shared" si="29"/>
        <v>nie dotyczy</v>
      </c>
      <c r="R73" s="166" t="str">
        <f t="shared" si="29"/>
        <v>nie dotyczy</v>
      </c>
      <c r="S73" s="166" t="str">
        <f t="shared" si="29"/>
        <v>nie dotyczy</v>
      </c>
      <c r="T73" s="166" t="str">
        <f t="shared" si="29"/>
        <v>nie dotyczy</v>
      </c>
      <c r="U73" s="166" t="str">
        <f t="shared" si="29"/>
        <v>nie dotyczy</v>
      </c>
      <c r="V73" s="166" t="str">
        <f t="shared" si="29"/>
        <v>nie dotyczy</v>
      </c>
      <c r="W73" s="166" t="str">
        <f t="shared" si="29"/>
        <v>nie dotyczy</v>
      </c>
      <c r="X73" s="166" t="str">
        <f t="shared" si="29"/>
        <v>nie dotyczy</v>
      </c>
      <c r="Y73" s="166" t="str">
        <f t="shared" si="29"/>
        <v>nie dotyczy</v>
      </c>
      <c r="Z73" s="166" t="str">
        <f t="shared" si="29"/>
        <v>nie dotyczy</v>
      </c>
      <c r="AA73" s="166" t="str">
        <f t="shared" si="29"/>
        <v>nie dotyczy</v>
      </c>
      <c r="AB73" s="166" t="str">
        <f t="shared" si="29"/>
        <v>nie dotyczy</v>
      </c>
      <c r="AC73" s="166" t="str">
        <f t="shared" si="29"/>
        <v>nie dotyczy</v>
      </c>
      <c r="AD73" s="166" t="str">
        <f t="shared" si="29"/>
        <v>nie dotyczy</v>
      </c>
      <c r="AE73" s="166" t="str">
        <f t="shared" si="29"/>
        <v>nie dotyczy</v>
      </c>
      <c r="AF73" s="166" t="str">
        <f t="shared" si="29"/>
        <v>nie dotyczy</v>
      </c>
      <c r="AG73" s="166" t="str">
        <f t="shared" si="29"/>
        <v>nie dotyczy</v>
      </c>
      <c r="AH73" s="166" t="str">
        <f t="shared" si="29"/>
        <v>nie dotyczy</v>
      </c>
      <c r="AI73" s="166" t="str">
        <f t="shared" si="29"/>
        <v>nie dotyczy</v>
      </c>
      <c r="AJ73" s="166" t="str">
        <f t="shared" si="29"/>
        <v>nie dotyczy</v>
      </c>
      <c r="AK73" s="166" t="str">
        <f t="shared" si="29"/>
        <v>nie dotyczy</v>
      </c>
      <c r="AL73" s="166" t="str">
        <f t="shared" si="29"/>
        <v>nie dotyczy</v>
      </c>
      <c r="AM73" s="166" t="str">
        <f t="shared" si="29"/>
        <v>nie dotyczy</v>
      </c>
      <c r="AN73" s="166" t="str">
        <f t="shared" si="29"/>
        <v>nie dotyczy</v>
      </c>
      <c r="AO73" s="166" t="str">
        <f t="shared" si="29"/>
        <v>nie dotyczy</v>
      </c>
    </row>
    <row r="74" spans="2:41" ht="22.5">
      <c r="B74" s="167" t="s">
        <v>174</v>
      </c>
      <c r="C74" s="166" t="str">
        <f>IF(C22&lt;=0,IF(ROUND((+C22+(C27+C29+C31)),4)=0,"OK.",+C22+(C27+C29+C31)),"nie dotyczy")</f>
        <v>OK.</v>
      </c>
      <c r="D74" s="166" t="str">
        <f aca="true" t="shared" si="30" ref="D74:AO74">IF(D22&lt;=0,IF(ROUND((+D22+(D27+D29+D31)),4)=0,"OK.",+D22+(D27+D29+D31)),"nie dotyczy")</f>
        <v>nie dotyczy</v>
      </c>
      <c r="E74" s="166" t="str">
        <f t="shared" si="30"/>
        <v>nie dotyczy</v>
      </c>
      <c r="F74" s="166" t="str">
        <f t="shared" si="30"/>
        <v>nie dotyczy</v>
      </c>
      <c r="G74" s="166" t="str">
        <f t="shared" si="30"/>
        <v>nie dotyczy</v>
      </c>
      <c r="H74" s="166" t="str">
        <f t="shared" si="30"/>
        <v>nie dotyczy</v>
      </c>
      <c r="I74" s="166" t="str">
        <f t="shared" si="30"/>
        <v>nie dotyczy</v>
      </c>
      <c r="J74" s="166" t="str">
        <f t="shared" si="30"/>
        <v>nie dotyczy</v>
      </c>
      <c r="K74" s="166" t="str">
        <f t="shared" si="30"/>
        <v>nie dotyczy</v>
      </c>
      <c r="L74" s="166" t="str">
        <f t="shared" si="30"/>
        <v>nie dotyczy</v>
      </c>
      <c r="M74" s="166" t="str">
        <f t="shared" si="30"/>
        <v>nie dotyczy</v>
      </c>
      <c r="N74" s="166" t="str">
        <f t="shared" si="30"/>
        <v>OK.</v>
      </c>
      <c r="O74" s="166" t="str">
        <f t="shared" si="30"/>
        <v>OK.</v>
      </c>
      <c r="P74" s="166" t="str">
        <f t="shared" si="30"/>
        <v>OK.</v>
      </c>
      <c r="Q74" s="166" t="str">
        <f t="shared" si="30"/>
        <v>OK.</v>
      </c>
      <c r="R74" s="166" t="str">
        <f t="shared" si="30"/>
        <v>OK.</v>
      </c>
      <c r="S74" s="166" t="str">
        <f t="shared" si="30"/>
        <v>OK.</v>
      </c>
      <c r="T74" s="166" t="str">
        <f t="shared" si="30"/>
        <v>OK.</v>
      </c>
      <c r="U74" s="166" t="str">
        <f t="shared" si="30"/>
        <v>OK.</v>
      </c>
      <c r="V74" s="166" t="str">
        <f t="shared" si="30"/>
        <v>OK.</v>
      </c>
      <c r="W74" s="166" t="str">
        <f t="shared" si="30"/>
        <v>OK.</v>
      </c>
      <c r="X74" s="166" t="str">
        <f t="shared" si="30"/>
        <v>OK.</v>
      </c>
      <c r="Y74" s="166" t="str">
        <f t="shared" si="30"/>
        <v>OK.</v>
      </c>
      <c r="Z74" s="166" t="str">
        <f t="shared" si="30"/>
        <v>OK.</v>
      </c>
      <c r="AA74" s="166" t="str">
        <f t="shared" si="30"/>
        <v>OK.</v>
      </c>
      <c r="AB74" s="166" t="str">
        <f t="shared" si="30"/>
        <v>OK.</v>
      </c>
      <c r="AC74" s="166" t="str">
        <f t="shared" si="30"/>
        <v>OK.</v>
      </c>
      <c r="AD74" s="166" t="str">
        <f t="shared" si="30"/>
        <v>OK.</v>
      </c>
      <c r="AE74" s="166" t="str">
        <f t="shared" si="30"/>
        <v>OK.</v>
      </c>
      <c r="AF74" s="166" t="str">
        <f t="shared" si="30"/>
        <v>OK.</v>
      </c>
      <c r="AG74" s="166" t="str">
        <f t="shared" si="30"/>
        <v>OK.</v>
      </c>
      <c r="AH74" s="166" t="str">
        <f t="shared" si="30"/>
        <v>OK.</v>
      </c>
      <c r="AI74" s="166" t="str">
        <f t="shared" si="30"/>
        <v>OK.</v>
      </c>
      <c r="AJ74" s="166" t="str">
        <f t="shared" si="30"/>
        <v>OK.</v>
      </c>
      <c r="AK74" s="166" t="str">
        <f t="shared" si="30"/>
        <v>OK.</v>
      </c>
      <c r="AL74" s="166" t="str">
        <f t="shared" si="30"/>
        <v>OK.</v>
      </c>
      <c r="AM74" s="166" t="str">
        <f t="shared" si="30"/>
        <v>OK.</v>
      </c>
      <c r="AN74" s="166" t="str">
        <f t="shared" si="30"/>
        <v>OK.</v>
      </c>
      <c r="AO74" s="166" t="str">
        <f t="shared" si="30"/>
        <v>OK.</v>
      </c>
    </row>
    <row r="75" spans="2:41" ht="24">
      <c r="B75" s="168" t="s">
        <v>171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12">
      <c r="B76" s="170" t="s">
        <v>193</v>
      </c>
      <c r="C76" s="169" t="str">
        <f>+IF(C26&lt;C27,"Brak pokrycia","OK.")</f>
        <v>OK.</v>
      </c>
      <c r="D76" s="169" t="str">
        <f aca="true" t="shared" si="31" ref="D76:AO76">+IF(D26&lt;D27,"Brak pokrycia","OK.")</f>
        <v>OK.</v>
      </c>
      <c r="E76" s="169" t="str">
        <f t="shared" si="31"/>
        <v>OK.</v>
      </c>
      <c r="F76" s="169" t="str">
        <f t="shared" si="31"/>
        <v>OK.</v>
      </c>
      <c r="G76" s="169" t="str">
        <f t="shared" si="31"/>
        <v>OK.</v>
      </c>
      <c r="H76" s="169" t="str">
        <f t="shared" si="31"/>
        <v>OK.</v>
      </c>
      <c r="I76" s="169" t="str">
        <f t="shared" si="31"/>
        <v>OK.</v>
      </c>
      <c r="J76" s="169" t="str">
        <f t="shared" si="31"/>
        <v>OK.</v>
      </c>
      <c r="K76" s="169" t="str">
        <f t="shared" si="31"/>
        <v>OK.</v>
      </c>
      <c r="L76" s="169" t="str">
        <f t="shared" si="31"/>
        <v>OK.</v>
      </c>
      <c r="M76" s="169" t="str">
        <f t="shared" si="31"/>
        <v>OK.</v>
      </c>
      <c r="N76" s="169" t="str">
        <f t="shared" si="31"/>
        <v>OK.</v>
      </c>
      <c r="O76" s="169" t="str">
        <f t="shared" si="31"/>
        <v>OK.</v>
      </c>
      <c r="P76" s="169" t="str">
        <f t="shared" si="31"/>
        <v>OK.</v>
      </c>
      <c r="Q76" s="169" t="str">
        <f t="shared" si="31"/>
        <v>OK.</v>
      </c>
      <c r="R76" s="169" t="str">
        <f t="shared" si="31"/>
        <v>OK.</v>
      </c>
      <c r="S76" s="169" t="str">
        <f t="shared" si="31"/>
        <v>OK.</v>
      </c>
      <c r="T76" s="169" t="str">
        <f t="shared" si="31"/>
        <v>OK.</v>
      </c>
      <c r="U76" s="169" t="str">
        <f t="shared" si="31"/>
        <v>OK.</v>
      </c>
      <c r="V76" s="169" t="str">
        <f t="shared" si="31"/>
        <v>OK.</v>
      </c>
      <c r="W76" s="169" t="str">
        <f t="shared" si="31"/>
        <v>OK.</v>
      </c>
      <c r="X76" s="169" t="str">
        <f t="shared" si="31"/>
        <v>OK.</v>
      </c>
      <c r="Y76" s="169" t="str">
        <f t="shared" si="31"/>
        <v>OK.</v>
      </c>
      <c r="Z76" s="169" t="str">
        <f t="shared" si="31"/>
        <v>OK.</v>
      </c>
      <c r="AA76" s="169" t="str">
        <f t="shared" si="31"/>
        <v>OK.</v>
      </c>
      <c r="AB76" s="169" t="str">
        <f t="shared" si="31"/>
        <v>OK.</v>
      </c>
      <c r="AC76" s="169" t="str">
        <f t="shared" si="31"/>
        <v>OK.</v>
      </c>
      <c r="AD76" s="169" t="str">
        <f t="shared" si="31"/>
        <v>OK.</v>
      </c>
      <c r="AE76" s="169" t="str">
        <f t="shared" si="31"/>
        <v>OK.</v>
      </c>
      <c r="AF76" s="169" t="str">
        <f t="shared" si="31"/>
        <v>OK.</v>
      </c>
      <c r="AG76" s="169" t="str">
        <f t="shared" si="31"/>
        <v>OK.</v>
      </c>
      <c r="AH76" s="169" t="str">
        <f t="shared" si="31"/>
        <v>OK.</v>
      </c>
      <c r="AI76" s="169" t="str">
        <f t="shared" si="31"/>
        <v>OK.</v>
      </c>
      <c r="AJ76" s="169" t="str">
        <f t="shared" si="31"/>
        <v>OK.</v>
      </c>
      <c r="AK76" s="169" t="str">
        <f t="shared" si="31"/>
        <v>OK.</v>
      </c>
      <c r="AL76" s="169" t="str">
        <f t="shared" si="31"/>
        <v>OK.</v>
      </c>
      <c r="AM76" s="169" t="str">
        <f t="shared" si="31"/>
        <v>OK.</v>
      </c>
      <c r="AN76" s="169" t="str">
        <f t="shared" si="31"/>
        <v>OK.</v>
      </c>
      <c r="AO76" s="169" t="str">
        <f t="shared" si="31"/>
        <v>OK.</v>
      </c>
    </row>
    <row r="77" spans="2:41" ht="12">
      <c r="B77" s="170" t="s">
        <v>173</v>
      </c>
      <c r="C77" s="169" t="str">
        <f aca="true" t="shared" si="32" ref="C77:AO77">+IF(C28&lt;C29,"Brak pokrycia","OK.")</f>
        <v>OK.</v>
      </c>
      <c r="D77" s="169" t="str">
        <f t="shared" si="32"/>
        <v>OK.</v>
      </c>
      <c r="E77" s="169" t="str">
        <f t="shared" si="32"/>
        <v>OK.</v>
      </c>
      <c r="F77" s="169" t="str">
        <f t="shared" si="32"/>
        <v>OK.</v>
      </c>
      <c r="G77" s="169" t="str">
        <f t="shared" si="32"/>
        <v>OK.</v>
      </c>
      <c r="H77" s="169" t="str">
        <f t="shared" si="32"/>
        <v>OK.</v>
      </c>
      <c r="I77" s="169" t="str">
        <f t="shared" si="32"/>
        <v>OK.</v>
      </c>
      <c r="J77" s="169" t="str">
        <f t="shared" si="32"/>
        <v>OK.</v>
      </c>
      <c r="K77" s="169" t="str">
        <f t="shared" si="32"/>
        <v>OK.</v>
      </c>
      <c r="L77" s="169" t="str">
        <f t="shared" si="32"/>
        <v>OK.</v>
      </c>
      <c r="M77" s="169" t="str">
        <f t="shared" si="32"/>
        <v>OK.</v>
      </c>
      <c r="N77" s="169" t="str">
        <f t="shared" si="32"/>
        <v>OK.</v>
      </c>
      <c r="O77" s="169" t="str">
        <f t="shared" si="32"/>
        <v>OK.</v>
      </c>
      <c r="P77" s="169" t="str">
        <f t="shared" si="32"/>
        <v>OK.</v>
      </c>
      <c r="Q77" s="169" t="str">
        <f t="shared" si="32"/>
        <v>OK.</v>
      </c>
      <c r="R77" s="169" t="str">
        <f t="shared" si="32"/>
        <v>OK.</v>
      </c>
      <c r="S77" s="169" t="str">
        <f t="shared" si="32"/>
        <v>OK.</v>
      </c>
      <c r="T77" s="169" t="str">
        <f t="shared" si="32"/>
        <v>OK.</v>
      </c>
      <c r="U77" s="169" t="str">
        <f t="shared" si="32"/>
        <v>OK.</v>
      </c>
      <c r="V77" s="169" t="str">
        <f t="shared" si="32"/>
        <v>OK.</v>
      </c>
      <c r="W77" s="169" t="str">
        <f t="shared" si="32"/>
        <v>OK.</v>
      </c>
      <c r="X77" s="169" t="str">
        <f t="shared" si="32"/>
        <v>OK.</v>
      </c>
      <c r="Y77" s="169" t="str">
        <f t="shared" si="32"/>
        <v>OK.</v>
      </c>
      <c r="Z77" s="169" t="str">
        <f t="shared" si="32"/>
        <v>OK.</v>
      </c>
      <c r="AA77" s="169" t="str">
        <f t="shared" si="32"/>
        <v>OK.</v>
      </c>
      <c r="AB77" s="169" t="str">
        <f t="shared" si="32"/>
        <v>OK.</v>
      </c>
      <c r="AC77" s="169" t="str">
        <f t="shared" si="32"/>
        <v>OK.</v>
      </c>
      <c r="AD77" s="169" t="str">
        <f t="shared" si="32"/>
        <v>OK.</v>
      </c>
      <c r="AE77" s="169" t="str">
        <f t="shared" si="32"/>
        <v>OK.</v>
      </c>
      <c r="AF77" s="169" t="str">
        <f t="shared" si="32"/>
        <v>OK.</v>
      </c>
      <c r="AG77" s="169" t="str">
        <f t="shared" si="32"/>
        <v>OK.</v>
      </c>
      <c r="AH77" s="169" t="str">
        <f t="shared" si="32"/>
        <v>OK.</v>
      </c>
      <c r="AI77" s="169" t="str">
        <f t="shared" si="32"/>
        <v>OK.</v>
      </c>
      <c r="AJ77" s="169" t="str">
        <f t="shared" si="32"/>
        <v>OK.</v>
      </c>
      <c r="AK77" s="169" t="str">
        <f t="shared" si="32"/>
        <v>OK.</v>
      </c>
      <c r="AL77" s="169" t="str">
        <f t="shared" si="32"/>
        <v>OK.</v>
      </c>
      <c r="AM77" s="169" t="str">
        <f t="shared" si="32"/>
        <v>OK.</v>
      </c>
      <c r="AN77" s="169" t="str">
        <f t="shared" si="32"/>
        <v>OK.</v>
      </c>
      <c r="AO77" s="169" t="str">
        <f t="shared" si="32"/>
        <v>OK.</v>
      </c>
    </row>
    <row r="78" spans="2:41" ht="12">
      <c r="B78" s="170" t="s">
        <v>172</v>
      </c>
      <c r="C78" s="169" t="str">
        <f aca="true" t="shared" si="33" ref="C78:AO78">+IF(C30&lt;C31,"Brak pokrycia","OK.")</f>
        <v>OK.</v>
      </c>
      <c r="D78" s="169" t="str">
        <f t="shared" si="33"/>
        <v>OK.</v>
      </c>
      <c r="E78" s="169" t="str">
        <f t="shared" si="33"/>
        <v>OK.</v>
      </c>
      <c r="F78" s="169" t="str">
        <f t="shared" si="33"/>
        <v>OK.</v>
      </c>
      <c r="G78" s="169" t="str">
        <f t="shared" si="33"/>
        <v>OK.</v>
      </c>
      <c r="H78" s="169" t="str">
        <f t="shared" si="33"/>
        <v>OK.</v>
      </c>
      <c r="I78" s="169" t="str">
        <f t="shared" si="33"/>
        <v>OK.</v>
      </c>
      <c r="J78" s="169" t="str">
        <f t="shared" si="33"/>
        <v>OK.</v>
      </c>
      <c r="K78" s="169" t="str">
        <f t="shared" si="33"/>
        <v>OK.</v>
      </c>
      <c r="L78" s="169" t="str">
        <f t="shared" si="33"/>
        <v>OK.</v>
      </c>
      <c r="M78" s="169" t="str">
        <f t="shared" si="33"/>
        <v>OK.</v>
      </c>
      <c r="N78" s="169" t="str">
        <f t="shared" si="33"/>
        <v>OK.</v>
      </c>
      <c r="O78" s="169" t="str">
        <f t="shared" si="33"/>
        <v>OK.</v>
      </c>
      <c r="P78" s="169" t="str">
        <f t="shared" si="33"/>
        <v>OK.</v>
      </c>
      <c r="Q78" s="169" t="str">
        <f t="shared" si="33"/>
        <v>OK.</v>
      </c>
      <c r="R78" s="169" t="str">
        <f t="shared" si="33"/>
        <v>OK.</v>
      </c>
      <c r="S78" s="169" t="str">
        <f t="shared" si="33"/>
        <v>OK.</v>
      </c>
      <c r="T78" s="169" t="str">
        <f t="shared" si="33"/>
        <v>OK.</v>
      </c>
      <c r="U78" s="169" t="str">
        <f t="shared" si="33"/>
        <v>OK.</v>
      </c>
      <c r="V78" s="169" t="str">
        <f t="shared" si="33"/>
        <v>OK.</v>
      </c>
      <c r="W78" s="169" t="str">
        <f t="shared" si="33"/>
        <v>OK.</v>
      </c>
      <c r="X78" s="169" t="str">
        <f t="shared" si="33"/>
        <v>OK.</v>
      </c>
      <c r="Y78" s="169" t="str">
        <f t="shared" si="33"/>
        <v>OK.</v>
      </c>
      <c r="Z78" s="169" t="str">
        <f t="shared" si="33"/>
        <v>OK.</v>
      </c>
      <c r="AA78" s="169" t="str">
        <f t="shared" si="33"/>
        <v>OK.</v>
      </c>
      <c r="AB78" s="169" t="str">
        <f t="shared" si="33"/>
        <v>OK.</v>
      </c>
      <c r="AC78" s="169" t="str">
        <f t="shared" si="33"/>
        <v>OK.</v>
      </c>
      <c r="AD78" s="169" t="str">
        <f t="shared" si="33"/>
        <v>OK.</v>
      </c>
      <c r="AE78" s="169" t="str">
        <f t="shared" si="33"/>
        <v>OK.</v>
      </c>
      <c r="AF78" s="169" t="str">
        <f t="shared" si="33"/>
        <v>OK.</v>
      </c>
      <c r="AG78" s="169" t="str">
        <f t="shared" si="33"/>
        <v>OK.</v>
      </c>
      <c r="AH78" s="169" t="str">
        <f t="shared" si="33"/>
        <v>OK.</v>
      </c>
      <c r="AI78" s="169" t="str">
        <f t="shared" si="33"/>
        <v>OK.</v>
      </c>
      <c r="AJ78" s="169" t="str">
        <f t="shared" si="33"/>
        <v>OK.</v>
      </c>
      <c r="AK78" s="169" t="str">
        <f t="shared" si="33"/>
        <v>OK.</v>
      </c>
      <c r="AL78" s="169" t="str">
        <f t="shared" si="33"/>
        <v>OK.</v>
      </c>
      <c r="AM78" s="169" t="str">
        <f t="shared" si="33"/>
        <v>OK.</v>
      </c>
      <c r="AN78" s="169" t="str">
        <f t="shared" si="33"/>
        <v>OK.</v>
      </c>
      <c r="AO78" s="169" t="str">
        <f t="shared" si="33"/>
        <v>OK.</v>
      </c>
    </row>
    <row r="79" spans="2:41" ht="12">
      <c r="B79" s="171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2:41" ht="22.5">
      <c r="B80" s="173" t="s">
        <v>227</v>
      </c>
      <c r="C80" s="166" t="str">
        <f>+IF(AND(C19=0,C18&gt;0),"Błąd","OK.")</f>
        <v>OK.</v>
      </c>
      <c r="D80" s="166" t="str">
        <f aca="true" t="shared" si="34" ref="D80:AO80">+IF(AND(D19=0,D18&gt;0),"Błąd","OK.")</f>
        <v>OK.</v>
      </c>
      <c r="E80" s="166" t="str">
        <f t="shared" si="34"/>
        <v>OK.</v>
      </c>
      <c r="F80" s="166" t="str">
        <f t="shared" si="34"/>
        <v>OK.</v>
      </c>
      <c r="G80" s="166" t="str">
        <f t="shared" si="34"/>
        <v>OK.</v>
      </c>
      <c r="H80" s="166" t="str">
        <f t="shared" si="34"/>
        <v>OK.</v>
      </c>
      <c r="I80" s="166" t="str">
        <f t="shared" si="34"/>
        <v>OK.</v>
      </c>
      <c r="J80" s="166" t="str">
        <f t="shared" si="34"/>
        <v>OK.</v>
      </c>
      <c r="K80" s="166" t="str">
        <f t="shared" si="34"/>
        <v>OK.</v>
      </c>
      <c r="L80" s="166" t="str">
        <f t="shared" si="34"/>
        <v>OK.</v>
      </c>
      <c r="M80" s="166" t="str">
        <f t="shared" si="34"/>
        <v>OK.</v>
      </c>
      <c r="N80" s="166" t="str">
        <f t="shared" si="34"/>
        <v>OK.</v>
      </c>
      <c r="O80" s="166" t="str">
        <f t="shared" si="34"/>
        <v>OK.</v>
      </c>
      <c r="P80" s="166" t="str">
        <f t="shared" si="34"/>
        <v>OK.</v>
      </c>
      <c r="Q80" s="166" t="str">
        <f t="shared" si="34"/>
        <v>OK.</v>
      </c>
      <c r="R80" s="166" t="str">
        <f t="shared" si="34"/>
        <v>OK.</v>
      </c>
      <c r="S80" s="166" t="str">
        <f t="shared" si="34"/>
        <v>OK.</v>
      </c>
      <c r="T80" s="166" t="str">
        <f t="shared" si="34"/>
        <v>OK.</v>
      </c>
      <c r="U80" s="166" t="str">
        <f t="shared" si="34"/>
        <v>OK.</v>
      </c>
      <c r="V80" s="166" t="str">
        <f t="shared" si="34"/>
        <v>OK.</v>
      </c>
      <c r="W80" s="166" t="str">
        <f t="shared" si="34"/>
        <v>OK.</v>
      </c>
      <c r="X80" s="166" t="str">
        <f t="shared" si="34"/>
        <v>OK.</v>
      </c>
      <c r="Y80" s="166" t="str">
        <f t="shared" si="34"/>
        <v>OK.</v>
      </c>
      <c r="Z80" s="166" t="str">
        <f t="shared" si="34"/>
        <v>OK.</v>
      </c>
      <c r="AA80" s="166" t="str">
        <f t="shared" si="34"/>
        <v>OK.</v>
      </c>
      <c r="AB80" s="166" t="str">
        <f t="shared" si="34"/>
        <v>OK.</v>
      </c>
      <c r="AC80" s="166" t="str">
        <f t="shared" si="34"/>
        <v>OK.</v>
      </c>
      <c r="AD80" s="166" t="str">
        <f t="shared" si="34"/>
        <v>OK.</v>
      </c>
      <c r="AE80" s="166" t="str">
        <f t="shared" si="34"/>
        <v>OK.</v>
      </c>
      <c r="AF80" s="166" t="str">
        <f t="shared" si="34"/>
        <v>OK.</v>
      </c>
      <c r="AG80" s="166" t="str">
        <f t="shared" si="34"/>
        <v>OK.</v>
      </c>
      <c r="AH80" s="166" t="str">
        <f t="shared" si="34"/>
        <v>OK.</v>
      </c>
      <c r="AI80" s="166" t="str">
        <f t="shared" si="34"/>
        <v>OK.</v>
      </c>
      <c r="AJ80" s="166" t="str">
        <f t="shared" si="34"/>
        <v>OK.</v>
      </c>
      <c r="AK80" s="166" t="str">
        <f t="shared" si="34"/>
        <v>OK.</v>
      </c>
      <c r="AL80" s="166" t="str">
        <f t="shared" si="34"/>
        <v>OK.</v>
      </c>
      <c r="AM80" s="166" t="str">
        <f t="shared" si="34"/>
        <v>OK.</v>
      </c>
      <c r="AN80" s="166" t="str">
        <f t="shared" si="34"/>
        <v>OK.</v>
      </c>
      <c r="AO80" s="166" t="str">
        <f t="shared" si="34"/>
        <v>OK.</v>
      </c>
    </row>
    <row r="81" spans="2:41" ht="22.5">
      <c r="B81" s="167" t="s">
        <v>175</v>
      </c>
      <c r="C81" s="172" t="s">
        <v>169</v>
      </c>
      <c r="D81" s="166" t="str">
        <f aca="true" t="shared" si="35" ref="D81:AO81">+IF(ROUND(C36+D28-D33-D36,4)=0,"OK.",ROUND(D36-(C36+D28-D33),4))</f>
        <v>OK.</v>
      </c>
      <c r="E81" s="166" t="str">
        <f t="shared" si="35"/>
        <v>OK.</v>
      </c>
      <c r="F81" s="166" t="str">
        <f t="shared" si="35"/>
        <v>OK.</v>
      </c>
      <c r="G81" s="166" t="str">
        <f t="shared" si="35"/>
        <v>OK.</v>
      </c>
      <c r="H81" s="166" t="str">
        <f t="shared" si="35"/>
        <v>OK.</v>
      </c>
      <c r="I81" s="166" t="str">
        <f t="shared" si="35"/>
        <v>OK.</v>
      </c>
      <c r="J81" s="166" t="str">
        <f t="shared" si="35"/>
        <v>OK.</v>
      </c>
      <c r="K81" s="166" t="str">
        <f t="shared" si="35"/>
        <v>OK.</v>
      </c>
      <c r="L81" s="166" t="str">
        <f t="shared" si="35"/>
        <v>OK.</v>
      </c>
      <c r="M81" s="166" t="str">
        <f t="shared" si="35"/>
        <v>OK.</v>
      </c>
      <c r="N81" s="166" t="str">
        <f t="shared" si="35"/>
        <v>OK.</v>
      </c>
      <c r="O81" s="166" t="str">
        <f t="shared" si="35"/>
        <v>OK.</v>
      </c>
      <c r="P81" s="166" t="str">
        <f t="shared" si="35"/>
        <v>OK.</v>
      </c>
      <c r="Q81" s="166" t="str">
        <f t="shared" si="35"/>
        <v>OK.</v>
      </c>
      <c r="R81" s="166" t="str">
        <f t="shared" si="35"/>
        <v>OK.</v>
      </c>
      <c r="S81" s="166" t="str">
        <f t="shared" si="35"/>
        <v>OK.</v>
      </c>
      <c r="T81" s="166" t="str">
        <f t="shared" si="35"/>
        <v>OK.</v>
      </c>
      <c r="U81" s="166" t="str">
        <f t="shared" si="35"/>
        <v>OK.</v>
      </c>
      <c r="V81" s="166" t="str">
        <f t="shared" si="35"/>
        <v>OK.</v>
      </c>
      <c r="W81" s="166" t="str">
        <f t="shared" si="35"/>
        <v>OK.</v>
      </c>
      <c r="X81" s="166" t="str">
        <f t="shared" si="35"/>
        <v>OK.</v>
      </c>
      <c r="Y81" s="166" t="str">
        <f t="shared" si="35"/>
        <v>OK.</v>
      </c>
      <c r="Z81" s="166" t="str">
        <f t="shared" si="35"/>
        <v>OK.</v>
      </c>
      <c r="AA81" s="166" t="str">
        <f t="shared" si="35"/>
        <v>OK.</v>
      </c>
      <c r="AB81" s="166" t="str">
        <f t="shared" si="35"/>
        <v>OK.</v>
      </c>
      <c r="AC81" s="166" t="str">
        <f t="shared" si="35"/>
        <v>OK.</v>
      </c>
      <c r="AD81" s="166" t="str">
        <f t="shared" si="35"/>
        <v>OK.</v>
      </c>
      <c r="AE81" s="166" t="str">
        <f t="shared" si="35"/>
        <v>OK.</v>
      </c>
      <c r="AF81" s="166" t="str">
        <f t="shared" si="35"/>
        <v>OK.</v>
      </c>
      <c r="AG81" s="166" t="str">
        <f t="shared" si="35"/>
        <v>OK.</v>
      </c>
      <c r="AH81" s="166" t="str">
        <f t="shared" si="35"/>
        <v>OK.</v>
      </c>
      <c r="AI81" s="166" t="str">
        <f t="shared" si="35"/>
        <v>OK.</v>
      </c>
      <c r="AJ81" s="166" t="str">
        <f t="shared" si="35"/>
        <v>OK.</v>
      </c>
      <c r="AK81" s="166" t="str">
        <f t="shared" si="35"/>
        <v>OK.</v>
      </c>
      <c r="AL81" s="166" t="str">
        <f t="shared" si="35"/>
        <v>OK.</v>
      </c>
      <c r="AM81" s="166" t="str">
        <f t="shared" si="35"/>
        <v>OK.</v>
      </c>
      <c r="AN81" s="166" t="str">
        <f t="shared" si="35"/>
        <v>OK.</v>
      </c>
      <c r="AO81" s="166" t="str">
        <f t="shared" si="35"/>
        <v>OK.</v>
      </c>
    </row>
    <row r="82" spans="2:41" ht="22.5">
      <c r="B82" s="173" t="s">
        <v>182</v>
      </c>
      <c r="C82" s="169" t="str">
        <f>+IF(C36&lt;C38,"Za wysoka","OK.")</f>
        <v>OK.</v>
      </c>
      <c r="D82" s="169" t="str">
        <f aca="true" t="shared" si="36" ref="D82:AO82">+IF(D36&lt;D38,"Za wysoka","OK.")</f>
        <v>OK.</v>
      </c>
      <c r="E82" s="169" t="str">
        <f t="shared" si="36"/>
        <v>OK.</v>
      </c>
      <c r="F82" s="169" t="str">
        <f t="shared" si="36"/>
        <v>OK.</v>
      </c>
      <c r="G82" s="169" t="str">
        <f t="shared" si="36"/>
        <v>OK.</v>
      </c>
      <c r="H82" s="169" t="str">
        <f t="shared" si="36"/>
        <v>OK.</v>
      </c>
      <c r="I82" s="169" t="str">
        <f t="shared" si="36"/>
        <v>OK.</v>
      </c>
      <c r="J82" s="169" t="str">
        <f t="shared" si="36"/>
        <v>OK.</v>
      </c>
      <c r="K82" s="169" t="str">
        <f t="shared" si="36"/>
        <v>OK.</v>
      </c>
      <c r="L82" s="169" t="str">
        <f t="shared" si="36"/>
        <v>OK.</v>
      </c>
      <c r="M82" s="169" t="str">
        <f t="shared" si="36"/>
        <v>OK.</v>
      </c>
      <c r="N82" s="169" t="str">
        <f t="shared" si="36"/>
        <v>OK.</v>
      </c>
      <c r="O82" s="169" t="str">
        <f t="shared" si="36"/>
        <v>OK.</v>
      </c>
      <c r="P82" s="169" t="str">
        <f t="shared" si="36"/>
        <v>OK.</v>
      </c>
      <c r="Q82" s="169" t="str">
        <f t="shared" si="36"/>
        <v>OK.</v>
      </c>
      <c r="R82" s="169" t="str">
        <f t="shared" si="36"/>
        <v>OK.</v>
      </c>
      <c r="S82" s="169" t="str">
        <f t="shared" si="36"/>
        <v>OK.</v>
      </c>
      <c r="T82" s="169" t="str">
        <f t="shared" si="36"/>
        <v>OK.</v>
      </c>
      <c r="U82" s="169" t="str">
        <f t="shared" si="36"/>
        <v>OK.</v>
      </c>
      <c r="V82" s="169" t="str">
        <f t="shared" si="36"/>
        <v>OK.</v>
      </c>
      <c r="W82" s="169" t="str">
        <f t="shared" si="36"/>
        <v>OK.</v>
      </c>
      <c r="X82" s="169" t="str">
        <f t="shared" si="36"/>
        <v>OK.</v>
      </c>
      <c r="Y82" s="169" t="str">
        <f t="shared" si="36"/>
        <v>OK.</v>
      </c>
      <c r="Z82" s="169" t="str">
        <f t="shared" si="36"/>
        <v>OK.</v>
      </c>
      <c r="AA82" s="169" t="str">
        <f t="shared" si="36"/>
        <v>OK.</v>
      </c>
      <c r="AB82" s="169" t="str">
        <f t="shared" si="36"/>
        <v>OK.</v>
      </c>
      <c r="AC82" s="169" t="str">
        <f t="shared" si="36"/>
        <v>OK.</v>
      </c>
      <c r="AD82" s="169" t="str">
        <f t="shared" si="36"/>
        <v>OK.</v>
      </c>
      <c r="AE82" s="169" t="str">
        <f t="shared" si="36"/>
        <v>OK.</v>
      </c>
      <c r="AF82" s="169" t="str">
        <f t="shared" si="36"/>
        <v>OK.</v>
      </c>
      <c r="AG82" s="169" t="str">
        <f t="shared" si="36"/>
        <v>OK.</v>
      </c>
      <c r="AH82" s="169" t="str">
        <f t="shared" si="36"/>
        <v>OK.</v>
      </c>
      <c r="AI82" s="169" t="str">
        <f t="shared" si="36"/>
        <v>OK.</v>
      </c>
      <c r="AJ82" s="169" t="str">
        <f t="shared" si="36"/>
        <v>OK.</v>
      </c>
      <c r="AK82" s="169" t="str">
        <f t="shared" si="36"/>
        <v>OK.</v>
      </c>
      <c r="AL82" s="169" t="str">
        <f t="shared" si="36"/>
        <v>OK.</v>
      </c>
      <c r="AM82" s="169" t="str">
        <f t="shared" si="36"/>
        <v>OK.</v>
      </c>
      <c r="AN82" s="169" t="str">
        <f t="shared" si="36"/>
        <v>OK.</v>
      </c>
      <c r="AO82" s="169" t="str">
        <f t="shared" si="36"/>
        <v>OK.</v>
      </c>
    </row>
    <row r="83" spans="2:41" ht="22.5">
      <c r="B83" s="173" t="s">
        <v>177</v>
      </c>
      <c r="C83" s="166" t="str">
        <f>+IF(C33&lt;C34,"Za wysoka","OK.")</f>
        <v>OK.</v>
      </c>
      <c r="D83" s="166" t="str">
        <f aca="true" t="shared" si="37" ref="D83:AO83">+IF(D33&lt;D34,"Za wysoka","OK.")</f>
        <v>OK.</v>
      </c>
      <c r="E83" s="166" t="str">
        <f t="shared" si="37"/>
        <v>OK.</v>
      </c>
      <c r="F83" s="166" t="str">
        <f t="shared" si="37"/>
        <v>OK.</v>
      </c>
      <c r="G83" s="166" t="str">
        <f t="shared" si="37"/>
        <v>OK.</v>
      </c>
      <c r="H83" s="166" t="str">
        <f t="shared" si="37"/>
        <v>OK.</v>
      </c>
      <c r="I83" s="166" t="str">
        <f t="shared" si="37"/>
        <v>OK.</v>
      </c>
      <c r="J83" s="166" t="str">
        <f t="shared" si="37"/>
        <v>OK.</v>
      </c>
      <c r="K83" s="166" t="str">
        <f t="shared" si="37"/>
        <v>OK.</v>
      </c>
      <c r="L83" s="166" t="str">
        <f t="shared" si="37"/>
        <v>OK.</v>
      </c>
      <c r="M83" s="166" t="str">
        <f t="shared" si="37"/>
        <v>OK.</v>
      </c>
      <c r="N83" s="166" t="str">
        <f t="shared" si="37"/>
        <v>OK.</v>
      </c>
      <c r="O83" s="166" t="str">
        <f t="shared" si="37"/>
        <v>OK.</v>
      </c>
      <c r="P83" s="166" t="str">
        <f t="shared" si="37"/>
        <v>OK.</v>
      </c>
      <c r="Q83" s="166" t="str">
        <f t="shared" si="37"/>
        <v>OK.</v>
      </c>
      <c r="R83" s="166" t="str">
        <f t="shared" si="37"/>
        <v>OK.</v>
      </c>
      <c r="S83" s="166" t="str">
        <f t="shared" si="37"/>
        <v>OK.</v>
      </c>
      <c r="T83" s="166" t="str">
        <f t="shared" si="37"/>
        <v>OK.</v>
      </c>
      <c r="U83" s="166" t="str">
        <f t="shared" si="37"/>
        <v>OK.</v>
      </c>
      <c r="V83" s="166" t="str">
        <f t="shared" si="37"/>
        <v>OK.</v>
      </c>
      <c r="W83" s="166" t="str">
        <f t="shared" si="37"/>
        <v>OK.</v>
      </c>
      <c r="X83" s="166" t="str">
        <f t="shared" si="37"/>
        <v>OK.</v>
      </c>
      <c r="Y83" s="166" t="str">
        <f t="shared" si="37"/>
        <v>OK.</v>
      </c>
      <c r="Z83" s="166" t="str">
        <f t="shared" si="37"/>
        <v>OK.</v>
      </c>
      <c r="AA83" s="166" t="str">
        <f t="shared" si="37"/>
        <v>OK.</v>
      </c>
      <c r="AB83" s="166" t="str">
        <f t="shared" si="37"/>
        <v>OK.</v>
      </c>
      <c r="AC83" s="166" t="str">
        <f t="shared" si="37"/>
        <v>OK.</v>
      </c>
      <c r="AD83" s="166" t="str">
        <f t="shared" si="37"/>
        <v>OK.</v>
      </c>
      <c r="AE83" s="166" t="str">
        <f t="shared" si="37"/>
        <v>OK.</v>
      </c>
      <c r="AF83" s="166" t="str">
        <f t="shared" si="37"/>
        <v>OK.</v>
      </c>
      <c r="AG83" s="166" t="str">
        <f t="shared" si="37"/>
        <v>OK.</v>
      </c>
      <c r="AH83" s="166" t="str">
        <f t="shared" si="37"/>
        <v>OK.</v>
      </c>
      <c r="AI83" s="166" t="str">
        <f t="shared" si="37"/>
        <v>OK.</v>
      </c>
      <c r="AJ83" s="166" t="str">
        <f t="shared" si="37"/>
        <v>OK.</v>
      </c>
      <c r="AK83" s="166" t="str">
        <f t="shared" si="37"/>
        <v>OK.</v>
      </c>
      <c r="AL83" s="166" t="str">
        <f t="shared" si="37"/>
        <v>OK.</v>
      </c>
      <c r="AM83" s="166" t="str">
        <f t="shared" si="37"/>
        <v>OK.</v>
      </c>
      <c r="AN83" s="166" t="str">
        <f t="shared" si="37"/>
        <v>OK.</v>
      </c>
      <c r="AO83" s="166" t="str">
        <f t="shared" si="37"/>
        <v>OK.</v>
      </c>
    </row>
    <row r="84" spans="2:41" ht="22.5">
      <c r="B84" s="173" t="s">
        <v>176</v>
      </c>
      <c r="C84" s="169" t="str">
        <f>+IF(C16&lt;C17,"Za wysoka","OK.")</f>
        <v>OK.</v>
      </c>
      <c r="D84" s="169" t="str">
        <f aca="true" t="shared" si="38" ref="D84:AO84">+IF(D16&lt;D17,"Za wysoka","OK.")</f>
        <v>OK.</v>
      </c>
      <c r="E84" s="169" t="str">
        <f t="shared" si="38"/>
        <v>OK.</v>
      </c>
      <c r="F84" s="169" t="str">
        <f t="shared" si="38"/>
        <v>OK.</v>
      </c>
      <c r="G84" s="169" t="str">
        <f t="shared" si="38"/>
        <v>OK.</v>
      </c>
      <c r="H84" s="169" t="str">
        <f t="shared" si="38"/>
        <v>OK.</v>
      </c>
      <c r="I84" s="169" t="str">
        <f t="shared" si="38"/>
        <v>OK.</v>
      </c>
      <c r="J84" s="169" t="str">
        <f t="shared" si="38"/>
        <v>OK.</v>
      </c>
      <c r="K84" s="169" t="str">
        <f t="shared" si="38"/>
        <v>OK.</v>
      </c>
      <c r="L84" s="169" t="str">
        <f t="shared" si="38"/>
        <v>OK.</v>
      </c>
      <c r="M84" s="169" t="str">
        <f t="shared" si="38"/>
        <v>OK.</v>
      </c>
      <c r="N84" s="169" t="str">
        <f t="shared" si="38"/>
        <v>OK.</v>
      </c>
      <c r="O84" s="169" t="str">
        <f t="shared" si="38"/>
        <v>OK.</v>
      </c>
      <c r="P84" s="169" t="str">
        <f t="shared" si="38"/>
        <v>OK.</v>
      </c>
      <c r="Q84" s="169" t="str">
        <f t="shared" si="38"/>
        <v>OK.</v>
      </c>
      <c r="R84" s="169" t="str">
        <f t="shared" si="38"/>
        <v>OK.</v>
      </c>
      <c r="S84" s="169" t="str">
        <f t="shared" si="38"/>
        <v>OK.</v>
      </c>
      <c r="T84" s="169" t="str">
        <f t="shared" si="38"/>
        <v>OK.</v>
      </c>
      <c r="U84" s="169" t="str">
        <f t="shared" si="38"/>
        <v>OK.</v>
      </c>
      <c r="V84" s="169" t="str">
        <f t="shared" si="38"/>
        <v>OK.</v>
      </c>
      <c r="W84" s="169" t="str">
        <f t="shared" si="38"/>
        <v>OK.</v>
      </c>
      <c r="X84" s="169" t="str">
        <f t="shared" si="38"/>
        <v>OK.</v>
      </c>
      <c r="Y84" s="169" t="str">
        <f t="shared" si="38"/>
        <v>OK.</v>
      </c>
      <c r="Z84" s="169" t="str">
        <f t="shared" si="38"/>
        <v>OK.</v>
      </c>
      <c r="AA84" s="169" t="str">
        <f t="shared" si="38"/>
        <v>OK.</v>
      </c>
      <c r="AB84" s="169" t="str">
        <f t="shared" si="38"/>
        <v>OK.</v>
      </c>
      <c r="AC84" s="169" t="str">
        <f t="shared" si="38"/>
        <v>OK.</v>
      </c>
      <c r="AD84" s="169" t="str">
        <f t="shared" si="38"/>
        <v>OK.</v>
      </c>
      <c r="AE84" s="169" t="str">
        <f t="shared" si="38"/>
        <v>OK.</v>
      </c>
      <c r="AF84" s="169" t="str">
        <f t="shared" si="38"/>
        <v>OK.</v>
      </c>
      <c r="AG84" s="169" t="str">
        <f t="shared" si="38"/>
        <v>OK.</v>
      </c>
      <c r="AH84" s="169" t="str">
        <f t="shared" si="38"/>
        <v>OK.</v>
      </c>
      <c r="AI84" s="169" t="str">
        <f t="shared" si="38"/>
        <v>OK.</v>
      </c>
      <c r="AJ84" s="169" t="str">
        <f t="shared" si="38"/>
        <v>OK.</v>
      </c>
      <c r="AK84" s="169" t="str">
        <f t="shared" si="38"/>
        <v>OK.</v>
      </c>
      <c r="AL84" s="169" t="str">
        <f t="shared" si="38"/>
        <v>OK.</v>
      </c>
      <c r="AM84" s="169" t="str">
        <f t="shared" si="38"/>
        <v>OK.</v>
      </c>
      <c r="AN84" s="169" t="str">
        <f t="shared" si="38"/>
        <v>OK.</v>
      </c>
      <c r="AO84" s="169" t="str">
        <f t="shared" si="38"/>
        <v>OK.</v>
      </c>
    </row>
    <row r="85" spans="2:41" ht="22.5">
      <c r="B85" s="173" t="s">
        <v>181</v>
      </c>
      <c r="C85" s="169" t="str">
        <f>+IF(C36&lt;C37,"Za wysoka","OK.")</f>
        <v>OK.</v>
      </c>
      <c r="D85" s="169" t="str">
        <f aca="true" t="shared" si="39" ref="D85:AO85">+IF(D36&lt;D37,"Za wysoka","OK.")</f>
        <v>OK.</v>
      </c>
      <c r="E85" s="169" t="str">
        <f t="shared" si="39"/>
        <v>OK.</v>
      </c>
      <c r="F85" s="169" t="str">
        <f t="shared" si="39"/>
        <v>OK.</v>
      </c>
      <c r="G85" s="169" t="str">
        <f t="shared" si="39"/>
        <v>OK.</v>
      </c>
      <c r="H85" s="169" t="str">
        <f t="shared" si="39"/>
        <v>OK.</v>
      </c>
      <c r="I85" s="169" t="str">
        <f t="shared" si="39"/>
        <v>OK.</v>
      </c>
      <c r="J85" s="169" t="str">
        <f t="shared" si="39"/>
        <v>OK.</v>
      </c>
      <c r="K85" s="169" t="str">
        <f t="shared" si="39"/>
        <v>OK.</v>
      </c>
      <c r="L85" s="169" t="str">
        <f t="shared" si="39"/>
        <v>OK.</v>
      </c>
      <c r="M85" s="169" t="str">
        <f t="shared" si="39"/>
        <v>OK.</v>
      </c>
      <c r="N85" s="169" t="str">
        <f t="shared" si="39"/>
        <v>OK.</v>
      </c>
      <c r="O85" s="169" t="str">
        <f t="shared" si="39"/>
        <v>OK.</v>
      </c>
      <c r="P85" s="169" t="str">
        <f t="shared" si="39"/>
        <v>OK.</v>
      </c>
      <c r="Q85" s="169" t="str">
        <f t="shared" si="39"/>
        <v>OK.</v>
      </c>
      <c r="R85" s="169" t="str">
        <f t="shared" si="39"/>
        <v>OK.</v>
      </c>
      <c r="S85" s="169" t="str">
        <f t="shared" si="39"/>
        <v>OK.</v>
      </c>
      <c r="T85" s="169" t="str">
        <f t="shared" si="39"/>
        <v>OK.</v>
      </c>
      <c r="U85" s="169" t="str">
        <f t="shared" si="39"/>
        <v>OK.</v>
      </c>
      <c r="V85" s="169" t="str">
        <f t="shared" si="39"/>
        <v>OK.</v>
      </c>
      <c r="W85" s="169" t="str">
        <f t="shared" si="39"/>
        <v>OK.</v>
      </c>
      <c r="X85" s="169" t="str">
        <f t="shared" si="39"/>
        <v>OK.</v>
      </c>
      <c r="Y85" s="169" t="str">
        <f t="shared" si="39"/>
        <v>OK.</v>
      </c>
      <c r="Z85" s="169" t="str">
        <f t="shared" si="39"/>
        <v>OK.</v>
      </c>
      <c r="AA85" s="169" t="str">
        <f t="shared" si="39"/>
        <v>OK.</v>
      </c>
      <c r="AB85" s="169" t="str">
        <f t="shared" si="39"/>
        <v>OK.</v>
      </c>
      <c r="AC85" s="169" t="str">
        <f t="shared" si="39"/>
        <v>OK.</v>
      </c>
      <c r="AD85" s="169" t="str">
        <f t="shared" si="39"/>
        <v>OK.</v>
      </c>
      <c r="AE85" s="169" t="str">
        <f t="shared" si="39"/>
        <v>OK.</v>
      </c>
      <c r="AF85" s="169" t="str">
        <f t="shared" si="39"/>
        <v>OK.</v>
      </c>
      <c r="AG85" s="169" t="str">
        <f t="shared" si="39"/>
        <v>OK.</v>
      </c>
      <c r="AH85" s="169" t="str">
        <f t="shared" si="39"/>
        <v>OK.</v>
      </c>
      <c r="AI85" s="169" t="str">
        <f t="shared" si="39"/>
        <v>OK.</v>
      </c>
      <c r="AJ85" s="169" t="str">
        <f t="shared" si="39"/>
        <v>OK.</v>
      </c>
      <c r="AK85" s="169" t="str">
        <f t="shared" si="39"/>
        <v>OK.</v>
      </c>
      <c r="AL85" s="169" t="str">
        <f t="shared" si="39"/>
        <v>OK.</v>
      </c>
      <c r="AM85" s="169" t="str">
        <f t="shared" si="39"/>
        <v>OK.</v>
      </c>
      <c r="AN85" s="169" t="str">
        <f t="shared" si="39"/>
        <v>OK.</v>
      </c>
      <c r="AO85" s="169" t="str">
        <f t="shared" si="39"/>
        <v>OK.</v>
      </c>
    </row>
    <row r="86" spans="2:41" ht="22.5">
      <c r="B86" s="173" t="s">
        <v>187</v>
      </c>
      <c r="C86" s="169" t="str">
        <f>+IF(C36&lt;C56,"Za wysoka","OK.")</f>
        <v>OK.</v>
      </c>
      <c r="D86" s="169" t="str">
        <f aca="true" t="shared" si="40" ref="D86:AO86">+IF(D36&lt;D56,"Za wysoka","OK.")</f>
        <v>OK.</v>
      </c>
      <c r="E86" s="169" t="str">
        <f t="shared" si="40"/>
        <v>OK.</v>
      </c>
      <c r="F86" s="169" t="str">
        <f t="shared" si="40"/>
        <v>OK.</v>
      </c>
      <c r="G86" s="169" t="str">
        <f t="shared" si="40"/>
        <v>OK.</v>
      </c>
      <c r="H86" s="169" t="str">
        <f t="shared" si="40"/>
        <v>OK.</v>
      </c>
      <c r="I86" s="169" t="str">
        <f t="shared" si="40"/>
        <v>OK.</v>
      </c>
      <c r="J86" s="169" t="str">
        <f t="shared" si="40"/>
        <v>OK.</v>
      </c>
      <c r="K86" s="169" t="str">
        <f t="shared" si="40"/>
        <v>OK.</v>
      </c>
      <c r="L86" s="169" t="str">
        <f t="shared" si="40"/>
        <v>OK.</v>
      </c>
      <c r="M86" s="169" t="str">
        <f t="shared" si="40"/>
        <v>OK.</v>
      </c>
      <c r="N86" s="169" t="str">
        <f t="shared" si="40"/>
        <v>OK.</v>
      </c>
      <c r="O86" s="169" t="str">
        <f t="shared" si="40"/>
        <v>OK.</v>
      </c>
      <c r="P86" s="169" t="str">
        <f t="shared" si="40"/>
        <v>OK.</v>
      </c>
      <c r="Q86" s="169" t="str">
        <f t="shared" si="40"/>
        <v>OK.</v>
      </c>
      <c r="R86" s="169" t="str">
        <f t="shared" si="40"/>
        <v>OK.</v>
      </c>
      <c r="S86" s="169" t="str">
        <f t="shared" si="40"/>
        <v>OK.</v>
      </c>
      <c r="T86" s="169" t="str">
        <f t="shared" si="40"/>
        <v>OK.</v>
      </c>
      <c r="U86" s="169" t="str">
        <f t="shared" si="40"/>
        <v>OK.</v>
      </c>
      <c r="V86" s="169" t="str">
        <f t="shared" si="40"/>
        <v>OK.</v>
      </c>
      <c r="W86" s="169" t="str">
        <f t="shared" si="40"/>
        <v>OK.</v>
      </c>
      <c r="X86" s="169" t="str">
        <f t="shared" si="40"/>
        <v>OK.</v>
      </c>
      <c r="Y86" s="169" t="str">
        <f t="shared" si="40"/>
        <v>OK.</v>
      </c>
      <c r="Z86" s="169" t="str">
        <f t="shared" si="40"/>
        <v>OK.</v>
      </c>
      <c r="AA86" s="169" t="str">
        <f t="shared" si="40"/>
        <v>OK.</v>
      </c>
      <c r="AB86" s="169" t="str">
        <f t="shared" si="40"/>
        <v>OK.</v>
      </c>
      <c r="AC86" s="169" t="str">
        <f t="shared" si="40"/>
        <v>OK.</v>
      </c>
      <c r="AD86" s="169" t="str">
        <f t="shared" si="40"/>
        <v>OK.</v>
      </c>
      <c r="AE86" s="169" t="str">
        <f t="shared" si="40"/>
        <v>OK.</v>
      </c>
      <c r="AF86" s="169" t="str">
        <f t="shared" si="40"/>
        <v>OK.</v>
      </c>
      <c r="AG86" s="169" t="str">
        <f t="shared" si="40"/>
        <v>OK.</v>
      </c>
      <c r="AH86" s="169" t="str">
        <f t="shared" si="40"/>
        <v>OK.</v>
      </c>
      <c r="AI86" s="169" t="str">
        <f t="shared" si="40"/>
        <v>OK.</v>
      </c>
      <c r="AJ86" s="169" t="str">
        <f t="shared" si="40"/>
        <v>OK.</v>
      </c>
      <c r="AK86" s="169" t="str">
        <f t="shared" si="40"/>
        <v>OK.</v>
      </c>
      <c r="AL86" s="169" t="str">
        <f t="shared" si="40"/>
        <v>OK.</v>
      </c>
      <c r="AM86" s="169" t="str">
        <f t="shared" si="40"/>
        <v>OK.</v>
      </c>
      <c r="AN86" s="169" t="str">
        <f t="shared" si="40"/>
        <v>OK.</v>
      </c>
      <c r="AO86" s="169" t="str">
        <f t="shared" si="40"/>
        <v>OK.</v>
      </c>
    </row>
    <row r="87" spans="2:41" ht="22.5">
      <c r="B87" s="173" t="s">
        <v>188</v>
      </c>
      <c r="C87" s="169" t="str">
        <f>+IF(C56&lt;C57,"Za wysoka","OK.")</f>
        <v>OK.</v>
      </c>
      <c r="D87" s="169" t="str">
        <f aca="true" t="shared" si="41" ref="D87:AO87">+IF(D56&lt;D57,"Za wysoka","OK.")</f>
        <v>OK.</v>
      </c>
      <c r="E87" s="169" t="str">
        <f t="shared" si="41"/>
        <v>OK.</v>
      </c>
      <c r="F87" s="169" t="str">
        <f t="shared" si="41"/>
        <v>OK.</v>
      </c>
      <c r="G87" s="169" t="str">
        <f t="shared" si="41"/>
        <v>OK.</v>
      </c>
      <c r="H87" s="169" t="str">
        <f t="shared" si="41"/>
        <v>OK.</v>
      </c>
      <c r="I87" s="169" t="str">
        <f t="shared" si="41"/>
        <v>OK.</v>
      </c>
      <c r="J87" s="169" t="str">
        <f t="shared" si="41"/>
        <v>OK.</v>
      </c>
      <c r="K87" s="169" t="str">
        <f t="shared" si="41"/>
        <v>OK.</v>
      </c>
      <c r="L87" s="169" t="str">
        <f t="shared" si="41"/>
        <v>OK.</v>
      </c>
      <c r="M87" s="169" t="str">
        <f t="shared" si="41"/>
        <v>OK.</v>
      </c>
      <c r="N87" s="169" t="str">
        <f t="shared" si="41"/>
        <v>OK.</v>
      </c>
      <c r="O87" s="169" t="str">
        <f t="shared" si="41"/>
        <v>OK.</v>
      </c>
      <c r="P87" s="169" t="str">
        <f t="shared" si="41"/>
        <v>OK.</v>
      </c>
      <c r="Q87" s="169" t="str">
        <f t="shared" si="41"/>
        <v>OK.</v>
      </c>
      <c r="R87" s="169" t="str">
        <f t="shared" si="41"/>
        <v>OK.</v>
      </c>
      <c r="S87" s="169" t="str">
        <f t="shared" si="41"/>
        <v>OK.</v>
      </c>
      <c r="T87" s="169" t="str">
        <f t="shared" si="41"/>
        <v>OK.</v>
      </c>
      <c r="U87" s="169" t="str">
        <f t="shared" si="41"/>
        <v>OK.</v>
      </c>
      <c r="V87" s="169" t="str">
        <f t="shared" si="41"/>
        <v>OK.</v>
      </c>
      <c r="W87" s="169" t="str">
        <f t="shared" si="41"/>
        <v>OK.</v>
      </c>
      <c r="X87" s="169" t="str">
        <f t="shared" si="41"/>
        <v>OK.</v>
      </c>
      <c r="Y87" s="169" t="str">
        <f t="shared" si="41"/>
        <v>OK.</v>
      </c>
      <c r="Z87" s="169" t="str">
        <f t="shared" si="41"/>
        <v>OK.</v>
      </c>
      <c r="AA87" s="169" t="str">
        <f t="shared" si="41"/>
        <v>OK.</v>
      </c>
      <c r="AB87" s="169" t="str">
        <f t="shared" si="41"/>
        <v>OK.</v>
      </c>
      <c r="AC87" s="169" t="str">
        <f t="shared" si="41"/>
        <v>OK.</v>
      </c>
      <c r="AD87" s="169" t="str">
        <f t="shared" si="41"/>
        <v>OK.</v>
      </c>
      <c r="AE87" s="169" t="str">
        <f t="shared" si="41"/>
        <v>OK.</v>
      </c>
      <c r="AF87" s="169" t="str">
        <f t="shared" si="41"/>
        <v>OK.</v>
      </c>
      <c r="AG87" s="169" t="str">
        <f t="shared" si="41"/>
        <v>OK.</v>
      </c>
      <c r="AH87" s="169" t="str">
        <f t="shared" si="41"/>
        <v>OK.</v>
      </c>
      <c r="AI87" s="169" t="str">
        <f t="shared" si="41"/>
        <v>OK.</v>
      </c>
      <c r="AJ87" s="169" t="str">
        <f t="shared" si="41"/>
        <v>OK.</v>
      </c>
      <c r="AK87" s="169" t="str">
        <f t="shared" si="41"/>
        <v>OK.</v>
      </c>
      <c r="AL87" s="169" t="str">
        <f t="shared" si="41"/>
        <v>OK.</v>
      </c>
      <c r="AM87" s="169" t="str">
        <f t="shared" si="41"/>
        <v>OK.</v>
      </c>
      <c r="AN87" s="169" t="str">
        <f t="shared" si="41"/>
        <v>OK.</v>
      </c>
      <c r="AO87" s="169" t="str">
        <f t="shared" si="41"/>
        <v>OK.</v>
      </c>
    </row>
    <row r="88" spans="2:41" ht="1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2:41" ht="22.5">
      <c r="B89" s="173" t="s">
        <v>178</v>
      </c>
      <c r="C89" s="169" t="str">
        <f>+IF(ROUND((C14-(C15+C16+C18)),4)&gt;=0,"OK.","Błąd")</f>
        <v>OK.</v>
      </c>
      <c r="D89" s="169" t="str">
        <f aca="true" t="shared" si="42" ref="D89:AO89">+IF(ROUND((D14-(D15+D16+D18)),4)&gt;=0,"OK.","Błąd")</f>
        <v>OK.</v>
      </c>
      <c r="E89" s="169" t="str">
        <f t="shared" si="42"/>
        <v>OK.</v>
      </c>
      <c r="F89" s="169" t="str">
        <f t="shared" si="42"/>
        <v>OK.</v>
      </c>
      <c r="G89" s="169" t="str">
        <f t="shared" si="42"/>
        <v>OK.</v>
      </c>
      <c r="H89" s="169" t="str">
        <f t="shared" si="42"/>
        <v>OK.</v>
      </c>
      <c r="I89" s="169" t="str">
        <f t="shared" si="42"/>
        <v>OK.</v>
      </c>
      <c r="J89" s="169" t="str">
        <f t="shared" si="42"/>
        <v>OK.</v>
      </c>
      <c r="K89" s="169" t="str">
        <f t="shared" si="42"/>
        <v>OK.</v>
      </c>
      <c r="L89" s="169" t="str">
        <f t="shared" si="42"/>
        <v>OK.</v>
      </c>
      <c r="M89" s="169" t="str">
        <f t="shared" si="42"/>
        <v>OK.</v>
      </c>
      <c r="N89" s="169" t="str">
        <f t="shared" si="42"/>
        <v>OK.</v>
      </c>
      <c r="O89" s="169" t="str">
        <f t="shared" si="42"/>
        <v>OK.</v>
      </c>
      <c r="P89" s="169" t="str">
        <f t="shared" si="42"/>
        <v>OK.</v>
      </c>
      <c r="Q89" s="169" t="str">
        <f t="shared" si="42"/>
        <v>OK.</v>
      </c>
      <c r="R89" s="169" t="str">
        <f t="shared" si="42"/>
        <v>OK.</v>
      </c>
      <c r="S89" s="169" t="str">
        <f t="shared" si="42"/>
        <v>OK.</v>
      </c>
      <c r="T89" s="169" t="str">
        <f t="shared" si="42"/>
        <v>OK.</v>
      </c>
      <c r="U89" s="169" t="str">
        <f t="shared" si="42"/>
        <v>OK.</v>
      </c>
      <c r="V89" s="169" t="str">
        <f t="shared" si="42"/>
        <v>OK.</v>
      </c>
      <c r="W89" s="169" t="str">
        <f t="shared" si="42"/>
        <v>OK.</v>
      </c>
      <c r="X89" s="169" t="str">
        <f t="shared" si="42"/>
        <v>OK.</v>
      </c>
      <c r="Y89" s="169" t="str">
        <f t="shared" si="42"/>
        <v>OK.</v>
      </c>
      <c r="Z89" s="169" t="str">
        <f t="shared" si="42"/>
        <v>OK.</v>
      </c>
      <c r="AA89" s="169" t="str">
        <f t="shared" si="42"/>
        <v>OK.</v>
      </c>
      <c r="AB89" s="169" t="str">
        <f t="shared" si="42"/>
        <v>OK.</v>
      </c>
      <c r="AC89" s="169" t="str">
        <f t="shared" si="42"/>
        <v>OK.</v>
      </c>
      <c r="AD89" s="169" t="str">
        <f t="shared" si="42"/>
        <v>OK.</v>
      </c>
      <c r="AE89" s="169" t="str">
        <f t="shared" si="42"/>
        <v>OK.</v>
      </c>
      <c r="AF89" s="169" t="str">
        <f t="shared" si="42"/>
        <v>OK.</v>
      </c>
      <c r="AG89" s="169" t="str">
        <f t="shared" si="42"/>
        <v>OK.</v>
      </c>
      <c r="AH89" s="169" t="str">
        <f t="shared" si="42"/>
        <v>OK.</v>
      </c>
      <c r="AI89" s="169" t="str">
        <f t="shared" si="42"/>
        <v>OK.</v>
      </c>
      <c r="AJ89" s="169" t="str">
        <f t="shared" si="42"/>
        <v>OK.</v>
      </c>
      <c r="AK89" s="169" t="str">
        <f t="shared" si="42"/>
        <v>OK.</v>
      </c>
      <c r="AL89" s="169" t="str">
        <f t="shared" si="42"/>
        <v>OK.</v>
      </c>
      <c r="AM89" s="169" t="str">
        <f t="shared" si="42"/>
        <v>OK.</v>
      </c>
      <c r="AN89" s="169" t="str">
        <f t="shared" si="42"/>
        <v>OK.</v>
      </c>
      <c r="AO89" s="169" t="str">
        <f t="shared" si="42"/>
        <v>OK.</v>
      </c>
    </row>
    <row r="90" spans="2:41" ht="22.5">
      <c r="B90" s="173" t="s">
        <v>179</v>
      </c>
      <c r="C90" s="169" t="str">
        <f>+IF(C18&lt;C19,"Za wysokie","OK.")</f>
        <v>OK.</v>
      </c>
      <c r="D90" s="169" t="str">
        <f aca="true" t="shared" si="43" ref="D90:AO90">+IF(D18&lt;D19,"Za wysokie","OK.")</f>
        <v>OK.</v>
      </c>
      <c r="E90" s="169" t="str">
        <f t="shared" si="43"/>
        <v>OK.</v>
      </c>
      <c r="F90" s="169" t="str">
        <f t="shared" si="43"/>
        <v>OK.</v>
      </c>
      <c r="G90" s="169" t="str">
        <f t="shared" si="43"/>
        <v>OK.</v>
      </c>
      <c r="H90" s="169" t="str">
        <f t="shared" si="43"/>
        <v>OK.</v>
      </c>
      <c r="I90" s="169" t="str">
        <f t="shared" si="43"/>
        <v>OK.</v>
      </c>
      <c r="J90" s="169" t="str">
        <f t="shared" si="43"/>
        <v>OK.</v>
      </c>
      <c r="K90" s="169" t="str">
        <f t="shared" si="43"/>
        <v>OK.</v>
      </c>
      <c r="L90" s="169" t="str">
        <f t="shared" si="43"/>
        <v>OK.</v>
      </c>
      <c r="M90" s="169" t="str">
        <f t="shared" si="43"/>
        <v>OK.</v>
      </c>
      <c r="N90" s="169" t="str">
        <f t="shared" si="43"/>
        <v>OK.</v>
      </c>
      <c r="O90" s="169" t="str">
        <f t="shared" si="43"/>
        <v>OK.</v>
      </c>
      <c r="P90" s="169" t="str">
        <f t="shared" si="43"/>
        <v>OK.</v>
      </c>
      <c r="Q90" s="169" t="str">
        <f t="shared" si="43"/>
        <v>OK.</v>
      </c>
      <c r="R90" s="169" t="str">
        <f t="shared" si="43"/>
        <v>OK.</v>
      </c>
      <c r="S90" s="169" t="str">
        <f t="shared" si="43"/>
        <v>OK.</v>
      </c>
      <c r="T90" s="169" t="str">
        <f t="shared" si="43"/>
        <v>OK.</v>
      </c>
      <c r="U90" s="169" t="str">
        <f t="shared" si="43"/>
        <v>OK.</v>
      </c>
      <c r="V90" s="169" t="str">
        <f t="shared" si="43"/>
        <v>OK.</v>
      </c>
      <c r="W90" s="169" t="str">
        <f t="shared" si="43"/>
        <v>OK.</v>
      </c>
      <c r="X90" s="169" t="str">
        <f t="shared" si="43"/>
        <v>OK.</v>
      </c>
      <c r="Y90" s="169" t="str">
        <f t="shared" si="43"/>
        <v>OK.</v>
      </c>
      <c r="Z90" s="169" t="str">
        <f t="shared" si="43"/>
        <v>OK.</v>
      </c>
      <c r="AA90" s="169" t="str">
        <f t="shared" si="43"/>
        <v>OK.</v>
      </c>
      <c r="AB90" s="169" t="str">
        <f t="shared" si="43"/>
        <v>OK.</v>
      </c>
      <c r="AC90" s="169" t="str">
        <f t="shared" si="43"/>
        <v>OK.</v>
      </c>
      <c r="AD90" s="169" t="str">
        <f t="shared" si="43"/>
        <v>OK.</v>
      </c>
      <c r="AE90" s="169" t="str">
        <f t="shared" si="43"/>
        <v>OK.</v>
      </c>
      <c r="AF90" s="169" t="str">
        <f t="shared" si="43"/>
        <v>OK.</v>
      </c>
      <c r="AG90" s="169" t="str">
        <f t="shared" si="43"/>
        <v>OK.</v>
      </c>
      <c r="AH90" s="169" t="str">
        <f t="shared" si="43"/>
        <v>OK.</v>
      </c>
      <c r="AI90" s="169" t="str">
        <f t="shared" si="43"/>
        <v>OK.</v>
      </c>
      <c r="AJ90" s="169" t="str">
        <f t="shared" si="43"/>
        <v>OK.</v>
      </c>
      <c r="AK90" s="169" t="str">
        <f t="shared" si="43"/>
        <v>OK.</v>
      </c>
      <c r="AL90" s="169" t="str">
        <f t="shared" si="43"/>
        <v>OK.</v>
      </c>
      <c r="AM90" s="169" t="str">
        <f t="shared" si="43"/>
        <v>OK.</v>
      </c>
      <c r="AN90" s="169" t="str">
        <f t="shared" si="43"/>
        <v>OK.</v>
      </c>
      <c r="AO90" s="169" t="str">
        <f t="shared" si="43"/>
        <v>OK.</v>
      </c>
    </row>
    <row r="91" spans="2:41" ht="1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2:41" ht="22.5">
      <c r="B92" s="173" t="s">
        <v>186</v>
      </c>
      <c r="C92" s="169" t="str">
        <f aca="true" t="shared" si="44" ref="C92:AO92">+IF(C7&lt;C8,"Za wysokie","OK.")</f>
        <v>OK.</v>
      </c>
      <c r="D92" s="169" t="str">
        <f t="shared" si="44"/>
        <v>OK.</v>
      </c>
      <c r="E92" s="169" t="str">
        <f t="shared" si="44"/>
        <v>OK.</v>
      </c>
      <c r="F92" s="169" t="str">
        <f t="shared" si="44"/>
        <v>OK.</v>
      </c>
      <c r="G92" s="169" t="str">
        <f t="shared" si="44"/>
        <v>OK.</v>
      </c>
      <c r="H92" s="169" t="str">
        <f t="shared" si="44"/>
        <v>OK.</v>
      </c>
      <c r="I92" s="169" t="str">
        <f t="shared" si="44"/>
        <v>OK.</v>
      </c>
      <c r="J92" s="169" t="str">
        <f t="shared" si="44"/>
        <v>OK.</v>
      </c>
      <c r="K92" s="169" t="str">
        <f t="shared" si="44"/>
        <v>OK.</v>
      </c>
      <c r="L92" s="169" t="str">
        <f t="shared" si="44"/>
        <v>OK.</v>
      </c>
      <c r="M92" s="169" t="str">
        <f t="shared" si="44"/>
        <v>OK.</v>
      </c>
      <c r="N92" s="169" t="str">
        <f t="shared" si="44"/>
        <v>OK.</v>
      </c>
      <c r="O92" s="169" t="str">
        <f t="shared" si="44"/>
        <v>OK.</v>
      </c>
      <c r="P92" s="169" t="str">
        <f t="shared" si="44"/>
        <v>OK.</v>
      </c>
      <c r="Q92" s="169" t="str">
        <f t="shared" si="44"/>
        <v>OK.</v>
      </c>
      <c r="R92" s="169" t="str">
        <f t="shared" si="44"/>
        <v>OK.</v>
      </c>
      <c r="S92" s="169" t="str">
        <f t="shared" si="44"/>
        <v>OK.</v>
      </c>
      <c r="T92" s="169" t="str">
        <f t="shared" si="44"/>
        <v>OK.</v>
      </c>
      <c r="U92" s="169" t="str">
        <f t="shared" si="44"/>
        <v>OK.</v>
      </c>
      <c r="V92" s="169" t="str">
        <f t="shared" si="44"/>
        <v>OK.</v>
      </c>
      <c r="W92" s="169" t="str">
        <f t="shared" si="44"/>
        <v>OK.</v>
      </c>
      <c r="X92" s="169" t="str">
        <f t="shared" si="44"/>
        <v>OK.</v>
      </c>
      <c r="Y92" s="169" t="str">
        <f t="shared" si="44"/>
        <v>OK.</v>
      </c>
      <c r="Z92" s="169" t="str">
        <f t="shared" si="44"/>
        <v>OK.</v>
      </c>
      <c r="AA92" s="169" t="str">
        <f t="shared" si="44"/>
        <v>OK.</v>
      </c>
      <c r="AB92" s="169" t="str">
        <f t="shared" si="44"/>
        <v>OK.</v>
      </c>
      <c r="AC92" s="169" t="str">
        <f t="shared" si="44"/>
        <v>OK.</v>
      </c>
      <c r="AD92" s="169" t="str">
        <f t="shared" si="44"/>
        <v>OK.</v>
      </c>
      <c r="AE92" s="169" t="str">
        <f t="shared" si="44"/>
        <v>OK.</v>
      </c>
      <c r="AF92" s="169" t="str">
        <f t="shared" si="44"/>
        <v>OK.</v>
      </c>
      <c r="AG92" s="169" t="str">
        <f t="shared" si="44"/>
        <v>OK.</v>
      </c>
      <c r="AH92" s="169" t="str">
        <f t="shared" si="44"/>
        <v>OK.</v>
      </c>
      <c r="AI92" s="169" t="str">
        <f t="shared" si="44"/>
        <v>OK.</v>
      </c>
      <c r="AJ92" s="169" t="str">
        <f t="shared" si="44"/>
        <v>OK.</v>
      </c>
      <c r="AK92" s="169" t="str">
        <f t="shared" si="44"/>
        <v>OK.</v>
      </c>
      <c r="AL92" s="169" t="str">
        <f t="shared" si="44"/>
        <v>OK.</v>
      </c>
      <c r="AM92" s="169" t="str">
        <f t="shared" si="44"/>
        <v>OK.</v>
      </c>
      <c r="AN92" s="169" t="str">
        <f t="shared" si="44"/>
        <v>OK.</v>
      </c>
      <c r="AO92" s="169" t="str">
        <f t="shared" si="44"/>
        <v>OK.</v>
      </c>
    </row>
    <row r="93" spans="2:41" ht="22.5">
      <c r="B93" s="173" t="s">
        <v>185</v>
      </c>
      <c r="C93" s="169" t="str">
        <f aca="true" t="shared" si="45" ref="C93:AO93">+IF(C9&lt;C11,"Za wysokie","OK.")</f>
        <v>OK.</v>
      </c>
      <c r="D93" s="169" t="str">
        <f t="shared" si="45"/>
        <v>OK.</v>
      </c>
      <c r="E93" s="169" t="str">
        <f t="shared" si="45"/>
        <v>OK.</v>
      </c>
      <c r="F93" s="169" t="str">
        <f t="shared" si="45"/>
        <v>OK.</v>
      </c>
      <c r="G93" s="169" t="str">
        <f t="shared" si="45"/>
        <v>OK.</v>
      </c>
      <c r="H93" s="169" t="str">
        <f t="shared" si="45"/>
        <v>OK.</v>
      </c>
      <c r="I93" s="169" t="str">
        <f t="shared" si="45"/>
        <v>OK.</v>
      </c>
      <c r="J93" s="169" t="str">
        <f t="shared" si="45"/>
        <v>OK.</v>
      </c>
      <c r="K93" s="169" t="str">
        <f t="shared" si="45"/>
        <v>OK.</v>
      </c>
      <c r="L93" s="169" t="str">
        <f t="shared" si="45"/>
        <v>OK.</v>
      </c>
      <c r="M93" s="169" t="str">
        <f t="shared" si="45"/>
        <v>OK.</v>
      </c>
      <c r="N93" s="169" t="str">
        <f t="shared" si="45"/>
        <v>OK.</v>
      </c>
      <c r="O93" s="169" t="str">
        <f t="shared" si="45"/>
        <v>OK.</v>
      </c>
      <c r="P93" s="169" t="str">
        <f t="shared" si="45"/>
        <v>OK.</v>
      </c>
      <c r="Q93" s="169" t="str">
        <f t="shared" si="45"/>
        <v>OK.</v>
      </c>
      <c r="R93" s="169" t="str">
        <f t="shared" si="45"/>
        <v>OK.</v>
      </c>
      <c r="S93" s="169" t="str">
        <f t="shared" si="45"/>
        <v>OK.</v>
      </c>
      <c r="T93" s="169" t="str">
        <f t="shared" si="45"/>
        <v>OK.</v>
      </c>
      <c r="U93" s="169" t="str">
        <f t="shared" si="45"/>
        <v>OK.</v>
      </c>
      <c r="V93" s="169" t="str">
        <f t="shared" si="45"/>
        <v>OK.</v>
      </c>
      <c r="W93" s="169" t="str">
        <f t="shared" si="45"/>
        <v>OK.</v>
      </c>
      <c r="X93" s="169" t="str">
        <f t="shared" si="45"/>
        <v>OK.</v>
      </c>
      <c r="Y93" s="169" t="str">
        <f t="shared" si="45"/>
        <v>OK.</v>
      </c>
      <c r="Z93" s="169" t="str">
        <f t="shared" si="45"/>
        <v>OK.</v>
      </c>
      <c r="AA93" s="169" t="str">
        <f t="shared" si="45"/>
        <v>OK.</v>
      </c>
      <c r="AB93" s="169" t="str">
        <f t="shared" si="45"/>
        <v>OK.</v>
      </c>
      <c r="AC93" s="169" t="str">
        <f t="shared" si="45"/>
        <v>OK.</v>
      </c>
      <c r="AD93" s="169" t="str">
        <f t="shared" si="45"/>
        <v>OK.</v>
      </c>
      <c r="AE93" s="169" t="str">
        <f t="shared" si="45"/>
        <v>OK.</v>
      </c>
      <c r="AF93" s="169" t="str">
        <f t="shared" si="45"/>
        <v>OK.</v>
      </c>
      <c r="AG93" s="169" t="str">
        <f t="shared" si="45"/>
        <v>OK.</v>
      </c>
      <c r="AH93" s="169" t="str">
        <f t="shared" si="45"/>
        <v>OK.</v>
      </c>
      <c r="AI93" s="169" t="str">
        <f t="shared" si="45"/>
        <v>OK.</v>
      </c>
      <c r="AJ93" s="169" t="str">
        <f t="shared" si="45"/>
        <v>OK.</v>
      </c>
      <c r="AK93" s="169" t="str">
        <f t="shared" si="45"/>
        <v>OK.</v>
      </c>
      <c r="AL93" s="169" t="str">
        <f t="shared" si="45"/>
        <v>OK.</v>
      </c>
      <c r="AM93" s="169" t="str">
        <f t="shared" si="45"/>
        <v>OK.</v>
      </c>
      <c r="AN93" s="169" t="str">
        <f t="shared" si="45"/>
        <v>OK.</v>
      </c>
      <c r="AO93" s="169" t="str">
        <f t="shared" si="45"/>
        <v>OK.</v>
      </c>
    </row>
    <row r="94" spans="2:41" ht="33.75">
      <c r="B94" s="173" t="s">
        <v>184</v>
      </c>
      <c r="C94" s="169" t="str">
        <f>+IF(C14&lt;C15,"Za wysokie","OK.")</f>
        <v>OK.</v>
      </c>
      <c r="D94" s="169" t="str">
        <f aca="true" t="shared" si="46" ref="D94:AO94">+IF(D14&lt;D15,"Za wysokie","OK.")</f>
        <v>OK.</v>
      </c>
      <c r="E94" s="169" t="str">
        <f t="shared" si="46"/>
        <v>OK.</v>
      </c>
      <c r="F94" s="169" t="str">
        <f t="shared" si="46"/>
        <v>OK.</v>
      </c>
      <c r="G94" s="169" t="str">
        <f t="shared" si="46"/>
        <v>OK.</v>
      </c>
      <c r="H94" s="169" t="str">
        <f t="shared" si="46"/>
        <v>OK.</v>
      </c>
      <c r="I94" s="169" t="str">
        <f t="shared" si="46"/>
        <v>OK.</v>
      </c>
      <c r="J94" s="169" t="str">
        <f t="shared" si="46"/>
        <v>OK.</v>
      </c>
      <c r="K94" s="169" t="str">
        <f t="shared" si="46"/>
        <v>OK.</v>
      </c>
      <c r="L94" s="169" t="str">
        <f t="shared" si="46"/>
        <v>OK.</v>
      </c>
      <c r="M94" s="169" t="str">
        <f t="shared" si="46"/>
        <v>OK.</v>
      </c>
      <c r="N94" s="169" t="str">
        <f t="shared" si="46"/>
        <v>OK.</v>
      </c>
      <c r="O94" s="169" t="str">
        <f t="shared" si="46"/>
        <v>OK.</v>
      </c>
      <c r="P94" s="169" t="str">
        <f t="shared" si="46"/>
        <v>OK.</v>
      </c>
      <c r="Q94" s="169" t="str">
        <f t="shared" si="46"/>
        <v>OK.</v>
      </c>
      <c r="R94" s="169" t="str">
        <f t="shared" si="46"/>
        <v>OK.</v>
      </c>
      <c r="S94" s="169" t="str">
        <f t="shared" si="46"/>
        <v>OK.</v>
      </c>
      <c r="T94" s="169" t="str">
        <f t="shared" si="46"/>
        <v>OK.</v>
      </c>
      <c r="U94" s="169" t="str">
        <f t="shared" si="46"/>
        <v>OK.</v>
      </c>
      <c r="V94" s="169" t="str">
        <f t="shared" si="46"/>
        <v>OK.</v>
      </c>
      <c r="W94" s="169" t="str">
        <f t="shared" si="46"/>
        <v>OK.</v>
      </c>
      <c r="X94" s="169" t="str">
        <f t="shared" si="46"/>
        <v>OK.</v>
      </c>
      <c r="Y94" s="169" t="str">
        <f t="shared" si="46"/>
        <v>OK.</v>
      </c>
      <c r="Z94" s="169" t="str">
        <f t="shared" si="46"/>
        <v>OK.</v>
      </c>
      <c r="AA94" s="169" t="str">
        <f t="shared" si="46"/>
        <v>OK.</v>
      </c>
      <c r="AB94" s="169" t="str">
        <f t="shared" si="46"/>
        <v>OK.</v>
      </c>
      <c r="AC94" s="169" t="str">
        <f t="shared" si="46"/>
        <v>OK.</v>
      </c>
      <c r="AD94" s="169" t="str">
        <f t="shared" si="46"/>
        <v>OK.</v>
      </c>
      <c r="AE94" s="169" t="str">
        <f t="shared" si="46"/>
        <v>OK.</v>
      </c>
      <c r="AF94" s="169" t="str">
        <f t="shared" si="46"/>
        <v>OK.</v>
      </c>
      <c r="AG94" s="169" t="str">
        <f t="shared" si="46"/>
        <v>OK.</v>
      </c>
      <c r="AH94" s="169" t="str">
        <f t="shared" si="46"/>
        <v>OK.</v>
      </c>
      <c r="AI94" s="169" t="str">
        <f t="shared" si="46"/>
        <v>OK.</v>
      </c>
      <c r="AJ94" s="169" t="str">
        <f t="shared" si="46"/>
        <v>OK.</v>
      </c>
      <c r="AK94" s="169" t="str">
        <f t="shared" si="46"/>
        <v>OK.</v>
      </c>
      <c r="AL94" s="169" t="str">
        <f t="shared" si="46"/>
        <v>OK.</v>
      </c>
      <c r="AM94" s="169" t="str">
        <f t="shared" si="46"/>
        <v>OK.</v>
      </c>
      <c r="AN94" s="169" t="str">
        <f t="shared" si="46"/>
        <v>OK.</v>
      </c>
      <c r="AO94" s="169" t="str">
        <f t="shared" si="46"/>
        <v>OK.</v>
      </c>
    </row>
    <row r="95" spans="2:41" ht="33.75">
      <c r="B95" s="175" t="s">
        <v>180</v>
      </c>
      <c r="C95" s="176" t="str">
        <f aca="true" t="shared" si="47" ref="C95:AO95">+IF(C20&lt;C21,"Za wysokie","OK.")</f>
        <v>OK.</v>
      </c>
      <c r="D95" s="176" t="str">
        <f t="shared" si="47"/>
        <v>OK.</v>
      </c>
      <c r="E95" s="176" t="str">
        <f t="shared" si="47"/>
        <v>OK.</v>
      </c>
      <c r="F95" s="176" t="str">
        <f t="shared" si="47"/>
        <v>OK.</v>
      </c>
      <c r="G95" s="176" t="str">
        <f t="shared" si="47"/>
        <v>OK.</v>
      </c>
      <c r="H95" s="176" t="str">
        <f t="shared" si="47"/>
        <v>OK.</v>
      </c>
      <c r="I95" s="176" t="str">
        <f t="shared" si="47"/>
        <v>OK.</v>
      </c>
      <c r="J95" s="176" t="str">
        <f t="shared" si="47"/>
        <v>OK.</v>
      </c>
      <c r="K95" s="176" t="str">
        <f t="shared" si="47"/>
        <v>OK.</v>
      </c>
      <c r="L95" s="176" t="str">
        <f t="shared" si="47"/>
        <v>OK.</v>
      </c>
      <c r="M95" s="176" t="str">
        <f t="shared" si="47"/>
        <v>OK.</v>
      </c>
      <c r="N95" s="176" t="str">
        <f t="shared" si="47"/>
        <v>OK.</v>
      </c>
      <c r="O95" s="176" t="str">
        <f t="shared" si="47"/>
        <v>OK.</v>
      </c>
      <c r="P95" s="176" t="str">
        <f t="shared" si="47"/>
        <v>OK.</v>
      </c>
      <c r="Q95" s="176" t="str">
        <f t="shared" si="47"/>
        <v>OK.</v>
      </c>
      <c r="R95" s="176" t="str">
        <f t="shared" si="47"/>
        <v>OK.</v>
      </c>
      <c r="S95" s="176" t="str">
        <f t="shared" si="47"/>
        <v>OK.</v>
      </c>
      <c r="T95" s="176" t="str">
        <f t="shared" si="47"/>
        <v>OK.</v>
      </c>
      <c r="U95" s="176" t="str">
        <f t="shared" si="47"/>
        <v>OK.</v>
      </c>
      <c r="V95" s="176" t="str">
        <f t="shared" si="47"/>
        <v>OK.</v>
      </c>
      <c r="W95" s="176" t="str">
        <f t="shared" si="47"/>
        <v>OK.</v>
      </c>
      <c r="X95" s="176" t="str">
        <f t="shared" si="47"/>
        <v>OK.</v>
      </c>
      <c r="Y95" s="176" t="str">
        <f t="shared" si="47"/>
        <v>OK.</v>
      </c>
      <c r="Z95" s="176" t="str">
        <f t="shared" si="47"/>
        <v>OK.</v>
      </c>
      <c r="AA95" s="176" t="str">
        <f t="shared" si="47"/>
        <v>OK.</v>
      </c>
      <c r="AB95" s="176" t="str">
        <f t="shared" si="47"/>
        <v>OK.</v>
      </c>
      <c r="AC95" s="176" t="str">
        <f t="shared" si="47"/>
        <v>OK.</v>
      </c>
      <c r="AD95" s="176" t="str">
        <f t="shared" si="47"/>
        <v>OK.</v>
      </c>
      <c r="AE95" s="176" t="str">
        <f t="shared" si="47"/>
        <v>OK.</v>
      </c>
      <c r="AF95" s="176" t="str">
        <f t="shared" si="47"/>
        <v>OK.</v>
      </c>
      <c r="AG95" s="176" t="str">
        <f t="shared" si="47"/>
        <v>OK.</v>
      </c>
      <c r="AH95" s="176" t="str">
        <f t="shared" si="47"/>
        <v>OK.</v>
      </c>
      <c r="AI95" s="176" t="str">
        <f t="shared" si="47"/>
        <v>OK.</v>
      </c>
      <c r="AJ95" s="176" t="str">
        <f t="shared" si="47"/>
        <v>OK.</v>
      </c>
      <c r="AK95" s="176" t="str">
        <f t="shared" si="47"/>
        <v>OK.</v>
      </c>
      <c r="AL95" s="176" t="str">
        <f t="shared" si="47"/>
        <v>OK.</v>
      </c>
      <c r="AM95" s="176" t="str">
        <f t="shared" si="47"/>
        <v>OK.</v>
      </c>
      <c r="AN95" s="176" t="str">
        <f t="shared" si="47"/>
        <v>OK.</v>
      </c>
      <c r="AO95" s="176" t="str">
        <f t="shared" si="47"/>
        <v>OK.</v>
      </c>
    </row>
  </sheetData>
  <sheetProtection/>
  <conditionalFormatting sqref="C76:AO78 C92:AO95 C81:AO87 C89:AO90 C67:AO74">
    <cfRule type="cellIs" priority="5" dxfId="3" operator="equal" stopIfTrue="1">
      <formula>"Błąd"</formula>
    </cfRule>
  </conditionalFormatting>
  <conditionalFormatting sqref="C47:AO47 C49:AO49">
    <cfRule type="expression" priority="7" dxfId="4" stopIfTrue="1">
      <formula>LEFT(C47,3)="Nie"</formula>
    </cfRule>
  </conditionalFormatting>
  <conditionalFormatting sqref="C80:AO80">
    <cfRule type="cellIs" priority="1" dxfId="3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391"/>
  <sheetViews>
    <sheetView zoomScalePageLayoutView="0" workbookViewId="0" topLeftCell="H1">
      <selection activeCell="O4" sqref="O4:O39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1425062</v>
      </c>
      <c r="E4" s="99">
        <v>2</v>
      </c>
      <c r="F4" s="99"/>
      <c r="G4" s="99">
        <v>48</v>
      </c>
      <c r="H4" s="99">
        <v>22</v>
      </c>
      <c r="I4" s="99" t="s">
        <v>238</v>
      </c>
      <c r="J4" s="99" t="s">
        <v>79</v>
      </c>
      <c r="K4" s="99" t="b">
        <v>0</v>
      </c>
      <c r="L4" s="95">
        <v>2022</v>
      </c>
      <c r="M4" s="96">
        <v>0.0476</v>
      </c>
      <c r="N4" s="100">
        <v>41087</v>
      </c>
      <c r="O4" s="100">
        <v>41087</v>
      </c>
    </row>
    <row r="5" spans="1:15" ht="14.25">
      <c r="A5" s="97">
        <v>2012</v>
      </c>
      <c r="B5" s="98" t="s">
        <v>236</v>
      </c>
      <c r="C5" s="98" t="s">
        <v>237</v>
      </c>
      <c r="D5" s="99">
        <v>1425062</v>
      </c>
      <c r="E5" s="99">
        <v>2</v>
      </c>
      <c r="F5" s="99"/>
      <c r="G5" s="99">
        <v>26</v>
      </c>
      <c r="H5" s="99">
        <v>9</v>
      </c>
      <c r="I5" s="99" t="s">
        <v>239</v>
      </c>
      <c r="J5" s="99" t="s">
        <v>133</v>
      </c>
      <c r="K5" s="99" t="b">
        <v>0</v>
      </c>
      <c r="L5" s="95">
        <v>2020</v>
      </c>
      <c r="M5" s="96">
        <v>1610059</v>
      </c>
      <c r="N5" s="100">
        <v>41087</v>
      </c>
      <c r="O5" s="100">
        <v>41087</v>
      </c>
    </row>
    <row r="6" spans="1:15" ht="14.25">
      <c r="A6" s="97">
        <v>2012</v>
      </c>
      <c r="B6" s="98" t="s">
        <v>236</v>
      </c>
      <c r="C6" s="98" t="s">
        <v>237</v>
      </c>
      <c r="D6" s="99">
        <v>1425062</v>
      </c>
      <c r="E6" s="99">
        <v>2</v>
      </c>
      <c r="F6" s="99"/>
      <c r="G6" s="99">
        <v>52</v>
      </c>
      <c r="H6" s="99">
        <v>25</v>
      </c>
      <c r="I6" s="99" t="s">
        <v>240</v>
      </c>
      <c r="J6" s="99" t="s">
        <v>49</v>
      </c>
      <c r="K6" s="99" t="b">
        <v>1</v>
      </c>
      <c r="L6" s="95">
        <v>2016</v>
      </c>
      <c r="M6" s="96">
        <v>2195131</v>
      </c>
      <c r="N6" s="100">
        <v>41087</v>
      </c>
      <c r="O6" s="100">
        <v>41087</v>
      </c>
    </row>
    <row r="7" spans="1:15" ht="14.25">
      <c r="A7" s="97">
        <v>2012</v>
      </c>
      <c r="B7" s="98" t="s">
        <v>236</v>
      </c>
      <c r="C7" s="98" t="s">
        <v>237</v>
      </c>
      <c r="D7" s="99">
        <v>1425062</v>
      </c>
      <c r="E7" s="99">
        <v>2</v>
      </c>
      <c r="F7" s="99"/>
      <c r="G7" s="99">
        <v>44</v>
      </c>
      <c r="H7" s="99">
        <v>20</v>
      </c>
      <c r="I7" s="99" t="s">
        <v>241</v>
      </c>
      <c r="J7" s="99" t="s">
        <v>147</v>
      </c>
      <c r="K7" s="99" t="b">
        <v>1</v>
      </c>
      <c r="L7" s="95">
        <v>2012</v>
      </c>
      <c r="M7" s="96">
        <v>0.0557</v>
      </c>
      <c r="N7" s="100">
        <v>41087</v>
      </c>
      <c r="O7" s="100">
        <v>41087</v>
      </c>
    </row>
    <row r="8" spans="1:15" ht="14.25">
      <c r="A8" s="97">
        <v>2012</v>
      </c>
      <c r="B8" s="98" t="s">
        <v>236</v>
      </c>
      <c r="C8" s="98" t="s">
        <v>237</v>
      </c>
      <c r="D8" s="99">
        <v>1425062</v>
      </c>
      <c r="E8" s="99">
        <v>2</v>
      </c>
      <c r="F8" s="99"/>
      <c r="G8" s="99">
        <v>53</v>
      </c>
      <c r="H8" s="99">
        <v>26</v>
      </c>
      <c r="I8" s="99" t="s">
        <v>242</v>
      </c>
      <c r="J8" s="99" t="s">
        <v>153</v>
      </c>
      <c r="K8" s="99" t="b">
        <v>1</v>
      </c>
      <c r="L8" s="95">
        <v>2018</v>
      </c>
      <c r="M8" s="96">
        <v>33878223</v>
      </c>
      <c r="N8" s="100">
        <v>41087</v>
      </c>
      <c r="O8" s="100">
        <v>41087</v>
      </c>
    </row>
    <row r="9" spans="1:15" ht="14.25">
      <c r="A9" s="97">
        <v>2012</v>
      </c>
      <c r="B9" s="98" t="s">
        <v>236</v>
      </c>
      <c r="C9" s="98" t="s">
        <v>237</v>
      </c>
      <c r="D9" s="99">
        <v>1425062</v>
      </c>
      <c r="E9" s="99">
        <v>2</v>
      </c>
      <c r="F9" s="99"/>
      <c r="G9" s="99">
        <v>33</v>
      </c>
      <c r="H9" s="99">
        <v>13</v>
      </c>
      <c r="I9" s="99"/>
      <c r="J9" s="99" t="s">
        <v>68</v>
      </c>
      <c r="K9" s="99" t="b">
        <v>1</v>
      </c>
      <c r="L9" s="95">
        <v>2015</v>
      </c>
      <c r="M9" s="96">
        <v>11292508</v>
      </c>
      <c r="N9" s="100">
        <v>41087</v>
      </c>
      <c r="O9" s="100">
        <v>41087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1425062</v>
      </c>
      <c r="E10" s="99">
        <v>2</v>
      </c>
      <c r="F10" s="99"/>
      <c r="G10" s="99">
        <v>55</v>
      </c>
      <c r="H10" s="99">
        <v>28</v>
      </c>
      <c r="I10" s="99" t="s">
        <v>243</v>
      </c>
      <c r="J10" s="99" t="s">
        <v>48</v>
      </c>
      <c r="K10" s="99" t="b">
        <v>0</v>
      </c>
      <c r="L10" s="95">
        <v>2019</v>
      </c>
      <c r="M10" s="96">
        <v>2450000</v>
      </c>
      <c r="N10" s="100">
        <v>41087</v>
      </c>
      <c r="O10" s="100">
        <v>41087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1425062</v>
      </c>
      <c r="E11" s="99">
        <v>2</v>
      </c>
      <c r="F11" s="99"/>
      <c r="G11" s="99">
        <v>21</v>
      </c>
      <c r="H11" s="99" t="s">
        <v>124</v>
      </c>
      <c r="I11" s="99"/>
      <c r="J11" s="99" t="s">
        <v>125</v>
      </c>
      <c r="K11" s="99" t="b">
        <v>1</v>
      </c>
      <c r="L11" s="95">
        <v>2021</v>
      </c>
      <c r="M11" s="96">
        <v>2566576</v>
      </c>
      <c r="N11" s="100">
        <v>41087</v>
      </c>
      <c r="O11" s="100">
        <v>41087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1425062</v>
      </c>
      <c r="E12" s="99">
        <v>2</v>
      </c>
      <c r="F12" s="99"/>
      <c r="G12" s="99">
        <v>29</v>
      </c>
      <c r="H12" s="99" t="s">
        <v>136</v>
      </c>
      <c r="I12" s="99"/>
      <c r="J12" s="99" t="s">
        <v>117</v>
      </c>
      <c r="K12" s="99" t="b">
        <v>0</v>
      </c>
      <c r="L12" s="95">
        <v>2012</v>
      </c>
      <c r="M12" s="96">
        <v>3500000</v>
      </c>
      <c r="N12" s="100">
        <v>41087</v>
      </c>
      <c r="O12" s="100">
        <v>41087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1425062</v>
      </c>
      <c r="E13" s="99">
        <v>2</v>
      </c>
      <c r="F13" s="99"/>
      <c r="G13" s="99">
        <v>19</v>
      </c>
      <c r="H13" s="99">
        <v>6</v>
      </c>
      <c r="I13" s="99" t="s">
        <v>244</v>
      </c>
      <c r="J13" s="99" t="s">
        <v>123</v>
      </c>
      <c r="K13" s="99" t="b">
        <v>0</v>
      </c>
      <c r="L13" s="95">
        <v>2017</v>
      </c>
      <c r="M13" s="96">
        <v>2975238</v>
      </c>
      <c r="N13" s="100">
        <v>41087</v>
      </c>
      <c r="O13" s="100">
        <v>41087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1425062</v>
      </c>
      <c r="E14" s="99">
        <v>2</v>
      </c>
      <c r="F14" s="99"/>
      <c r="G14" s="99">
        <v>45</v>
      </c>
      <c r="H14" s="99" t="s">
        <v>148</v>
      </c>
      <c r="I14" s="99" t="s">
        <v>245</v>
      </c>
      <c r="J14" s="99" t="s">
        <v>53</v>
      </c>
      <c r="K14" s="99" t="b">
        <v>0</v>
      </c>
      <c r="L14" s="95">
        <v>2014</v>
      </c>
      <c r="M14" s="96">
        <v>0.0453</v>
      </c>
      <c r="N14" s="100">
        <v>41087</v>
      </c>
      <c r="O14" s="100">
        <v>41087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1425062</v>
      </c>
      <c r="E15" s="99">
        <v>2</v>
      </c>
      <c r="F15" s="99"/>
      <c r="G15" s="99">
        <v>48</v>
      </c>
      <c r="H15" s="99">
        <v>22</v>
      </c>
      <c r="I15" s="99" t="s">
        <v>238</v>
      </c>
      <c r="J15" s="99" t="s">
        <v>79</v>
      </c>
      <c r="K15" s="99" t="b">
        <v>0</v>
      </c>
      <c r="L15" s="95">
        <v>2016</v>
      </c>
      <c r="M15" s="96">
        <v>0.0592</v>
      </c>
      <c r="N15" s="100">
        <v>41087</v>
      </c>
      <c r="O15" s="100">
        <v>41087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1425062</v>
      </c>
      <c r="E16" s="99">
        <v>2</v>
      </c>
      <c r="F16" s="99"/>
      <c r="G16" s="99">
        <v>44</v>
      </c>
      <c r="H16" s="99">
        <v>20</v>
      </c>
      <c r="I16" s="99" t="s">
        <v>241</v>
      </c>
      <c r="J16" s="99" t="s">
        <v>147</v>
      </c>
      <c r="K16" s="99" t="b">
        <v>1</v>
      </c>
      <c r="L16" s="95">
        <v>2016</v>
      </c>
      <c r="M16" s="96">
        <v>0.0653</v>
      </c>
      <c r="N16" s="100">
        <v>41087</v>
      </c>
      <c r="O16" s="100">
        <v>41087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1425062</v>
      </c>
      <c r="E17" s="99">
        <v>2</v>
      </c>
      <c r="F17" s="99"/>
      <c r="G17" s="99">
        <v>6</v>
      </c>
      <c r="H17" s="99" t="s">
        <v>104</v>
      </c>
      <c r="I17" s="99"/>
      <c r="J17" s="99" t="s">
        <v>105</v>
      </c>
      <c r="K17" s="99" t="b">
        <v>1</v>
      </c>
      <c r="L17" s="95">
        <v>2013</v>
      </c>
      <c r="M17" s="96">
        <v>1515000</v>
      </c>
      <c r="N17" s="100">
        <v>41087</v>
      </c>
      <c r="O17" s="100">
        <v>41087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1425062</v>
      </c>
      <c r="E18" s="99">
        <v>2</v>
      </c>
      <c r="F18" s="99"/>
      <c r="G18" s="99">
        <v>37</v>
      </c>
      <c r="H18" s="99">
        <v>16</v>
      </c>
      <c r="I18" s="99"/>
      <c r="J18" s="99" t="s">
        <v>142</v>
      </c>
      <c r="K18" s="99" t="b">
        <v>1</v>
      </c>
      <c r="L18" s="95">
        <v>2017</v>
      </c>
      <c r="M18" s="96">
        <v>1694000</v>
      </c>
      <c r="N18" s="100">
        <v>41087</v>
      </c>
      <c r="O18" s="100">
        <v>41087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1425062</v>
      </c>
      <c r="E19" s="99">
        <v>2</v>
      </c>
      <c r="F19" s="99"/>
      <c r="G19" s="99">
        <v>56</v>
      </c>
      <c r="H19" s="99">
        <v>29</v>
      </c>
      <c r="I19" s="99" t="s">
        <v>246</v>
      </c>
      <c r="J19" s="99" t="s">
        <v>154</v>
      </c>
      <c r="K19" s="99" t="b">
        <v>0</v>
      </c>
      <c r="L19" s="95">
        <v>2014</v>
      </c>
      <c r="M19" s="96">
        <v>406374</v>
      </c>
      <c r="N19" s="100">
        <v>41087</v>
      </c>
      <c r="O19" s="100">
        <v>41087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1425062</v>
      </c>
      <c r="E20" s="99">
        <v>2</v>
      </c>
      <c r="F20" s="99"/>
      <c r="G20" s="99">
        <v>33</v>
      </c>
      <c r="H20" s="99">
        <v>13</v>
      </c>
      <c r="I20" s="99"/>
      <c r="J20" s="99" t="s">
        <v>68</v>
      </c>
      <c r="K20" s="99" t="b">
        <v>1</v>
      </c>
      <c r="L20" s="95">
        <v>2020</v>
      </c>
      <c r="M20" s="96">
        <v>4260211</v>
      </c>
      <c r="N20" s="100">
        <v>41087</v>
      </c>
      <c r="O20" s="100">
        <v>41087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1425062</v>
      </c>
      <c r="E21" s="99">
        <v>2</v>
      </c>
      <c r="F21" s="99"/>
      <c r="G21" s="99">
        <v>14</v>
      </c>
      <c r="H21" s="99">
        <v>3</v>
      </c>
      <c r="I21" s="99" t="s">
        <v>247</v>
      </c>
      <c r="J21" s="99" t="s">
        <v>118</v>
      </c>
      <c r="K21" s="99" t="b">
        <v>1</v>
      </c>
      <c r="L21" s="95">
        <v>2021</v>
      </c>
      <c r="M21" s="96">
        <v>3592847</v>
      </c>
      <c r="N21" s="100">
        <v>41087</v>
      </c>
      <c r="O21" s="100">
        <v>41087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1425062</v>
      </c>
      <c r="E22" s="99">
        <v>2</v>
      </c>
      <c r="F22" s="99"/>
      <c r="G22" s="99">
        <v>45</v>
      </c>
      <c r="H22" s="99" t="s">
        <v>148</v>
      </c>
      <c r="I22" s="99" t="s">
        <v>245</v>
      </c>
      <c r="J22" s="99" t="s">
        <v>53</v>
      </c>
      <c r="K22" s="99" t="b">
        <v>0</v>
      </c>
      <c r="L22" s="95">
        <v>2018</v>
      </c>
      <c r="M22" s="96">
        <v>0.0684</v>
      </c>
      <c r="N22" s="100">
        <v>41087</v>
      </c>
      <c r="O22" s="100">
        <v>41087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1425062</v>
      </c>
      <c r="E23" s="99">
        <v>2</v>
      </c>
      <c r="F23" s="99"/>
      <c r="G23" s="99">
        <v>14</v>
      </c>
      <c r="H23" s="99">
        <v>3</v>
      </c>
      <c r="I23" s="99" t="s">
        <v>247</v>
      </c>
      <c r="J23" s="99" t="s">
        <v>118</v>
      </c>
      <c r="K23" s="99" t="b">
        <v>1</v>
      </c>
      <c r="L23" s="95">
        <v>2014</v>
      </c>
      <c r="M23" s="96">
        <v>4052626</v>
      </c>
      <c r="N23" s="100">
        <v>41087</v>
      </c>
      <c r="O23" s="100">
        <v>41087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1425062</v>
      </c>
      <c r="E24" s="99">
        <v>2</v>
      </c>
      <c r="F24" s="99"/>
      <c r="G24" s="99">
        <v>27</v>
      </c>
      <c r="H24" s="99">
        <v>10</v>
      </c>
      <c r="I24" s="99"/>
      <c r="J24" s="99" t="s">
        <v>18</v>
      </c>
      <c r="K24" s="99" t="b">
        <v>0</v>
      </c>
      <c r="L24" s="95">
        <v>2014</v>
      </c>
      <c r="M24" s="96">
        <v>3068000</v>
      </c>
      <c r="N24" s="100">
        <v>41087</v>
      </c>
      <c r="O24" s="100">
        <v>41087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1425062</v>
      </c>
      <c r="E25" s="99">
        <v>2</v>
      </c>
      <c r="F25" s="99"/>
      <c r="G25" s="99">
        <v>49</v>
      </c>
      <c r="H25" s="99" t="s">
        <v>150</v>
      </c>
      <c r="I25" s="99" t="s">
        <v>248</v>
      </c>
      <c r="J25" s="99" t="s">
        <v>81</v>
      </c>
      <c r="K25" s="99" t="b">
        <v>0</v>
      </c>
      <c r="L25" s="95">
        <v>2013</v>
      </c>
      <c r="M25" s="96">
        <v>-827</v>
      </c>
      <c r="N25" s="100">
        <v>41087</v>
      </c>
      <c r="O25" s="100">
        <v>41087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1425062</v>
      </c>
      <c r="E26" s="99">
        <v>2</v>
      </c>
      <c r="F26" s="99"/>
      <c r="G26" s="99">
        <v>14</v>
      </c>
      <c r="H26" s="99">
        <v>3</v>
      </c>
      <c r="I26" s="99" t="s">
        <v>247</v>
      </c>
      <c r="J26" s="99" t="s">
        <v>118</v>
      </c>
      <c r="K26" s="99" t="b">
        <v>1</v>
      </c>
      <c r="L26" s="95">
        <v>2018</v>
      </c>
      <c r="M26" s="96">
        <v>2906476</v>
      </c>
      <c r="N26" s="100">
        <v>41087</v>
      </c>
      <c r="O26" s="100">
        <v>41087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1425062</v>
      </c>
      <c r="E27" s="99">
        <v>2</v>
      </c>
      <c r="F27" s="99"/>
      <c r="G27" s="99">
        <v>42</v>
      </c>
      <c r="H27" s="99">
        <v>19</v>
      </c>
      <c r="I27" s="99" t="s">
        <v>249</v>
      </c>
      <c r="J27" s="99" t="s">
        <v>74</v>
      </c>
      <c r="K27" s="99" t="b">
        <v>1</v>
      </c>
      <c r="L27" s="95">
        <v>2019</v>
      </c>
      <c r="M27" s="96">
        <v>0.0734</v>
      </c>
      <c r="N27" s="100">
        <v>41087</v>
      </c>
      <c r="O27" s="100">
        <v>41087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1425062</v>
      </c>
      <c r="E28" s="99">
        <v>2</v>
      </c>
      <c r="F28" s="99"/>
      <c r="G28" s="99">
        <v>52</v>
      </c>
      <c r="H28" s="99">
        <v>25</v>
      </c>
      <c r="I28" s="99" t="s">
        <v>240</v>
      </c>
      <c r="J28" s="99" t="s">
        <v>49</v>
      </c>
      <c r="K28" s="99" t="b">
        <v>1</v>
      </c>
      <c r="L28" s="95">
        <v>2017</v>
      </c>
      <c r="M28" s="96">
        <v>2625238</v>
      </c>
      <c r="N28" s="100">
        <v>41087</v>
      </c>
      <c r="O28" s="100">
        <v>41087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1425062</v>
      </c>
      <c r="E29" s="99">
        <v>2</v>
      </c>
      <c r="F29" s="99"/>
      <c r="G29" s="99">
        <v>52</v>
      </c>
      <c r="H29" s="99">
        <v>25</v>
      </c>
      <c r="I29" s="99" t="s">
        <v>240</v>
      </c>
      <c r="J29" s="99" t="s">
        <v>49</v>
      </c>
      <c r="K29" s="99" t="b">
        <v>1</v>
      </c>
      <c r="L29" s="95">
        <v>2022</v>
      </c>
      <c r="M29" s="96">
        <v>3801630</v>
      </c>
      <c r="N29" s="100">
        <v>41087</v>
      </c>
      <c r="O29" s="100">
        <v>41087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1425062</v>
      </c>
      <c r="E30" s="99">
        <v>2</v>
      </c>
      <c r="F30" s="99"/>
      <c r="G30" s="99">
        <v>54</v>
      </c>
      <c r="H30" s="99">
        <v>27</v>
      </c>
      <c r="I30" s="99" t="s">
        <v>250</v>
      </c>
      <c r="J30" s="99" t="s">
        <v>46</v>
      </c>
      <c r="K30" s="99" t="b">
        <v>0</v>
      </c>
      <c r="L30" s="95">
        <v>2013</v>
      </c>
      <c r="M30" s="96">
        <v>30653233</v>
      </c>
      <c r="N30" s="100">
        <v>41087</v>
      </c>
      <c r="O30" s="100">
        <v>41087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1425062</v>
      </c>
      <c r="E31" s="99">
        <v>2</v>
      </c>
      <c r="F31" s="99"/>
      <c r="G31" s="99">
        <v>26</v>
      </c>
      <c r="H31" s="99">
        <v>9</v>
      </c>
      <c r="I31" s="99" t="s">
        <v>239</v>
      </c>
      <c r="J31" s="99" t="s">
        <v>133</v>
      </c>
      <c r="K31" s="99" t="b">
        <v>0</v>
      </c>
      <c r="L31" s="95">
        <v>2012</v>
      </c>
      <c r="M31" s="96">
        <v>1981328</v>
      </c>
      <c r="N31" s="100">
        <v>41087</v>
      </c>
      <c r="O31" s="100">
        <v>41087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1425062</v>
      </c>
      <c r="E32" s="99">
        <v>2</v>
      </c>
      <c r="F32" s="99"/>
      <c r="G32" s="99">
        <v>27</v>
      </c>
      <c r="H32" s="99">
        <v>10</v>
      </c>
      <c r="I32" s="99"/>
      <c r="J32" s="99" t="s">
        <v>18</v>
      </c>
      <c r="K32" s="99" t="b">
        <v>0</v>
      </c>
      <c r="L32" s="95">
        <v>2016</v>
      </c>
      <c r="M32" s="96">
        <v>3372147</v>
      </c>
      <c r="N32" s="100">
        <v>41087</v>
      </c>
      <c r="O32" s="100">
        <v>41087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1425062</v>
      </c>
      <c r="E33" s="99">
        <v>2</v>
      </c>
      <c r="F33" s="99"/>
      <c r="G33" s="99">
        <v>14</v>
      </c>
      <c r="H33" s="99">
        <v>3</v>
      </c>
      <c r="I33" s="99" t="s">
        <v>247</v>
      </c>
      <c r="J33" s="99" t="s">
        <v>118</v>
      </c>
      <c r="K33" s="99" t="b">
        <v>1</v>
      </c>
      <c r="L33" s="95">
        <v>2015</v>
      </c>
      <c r="M33" s="96">
        <v>4019266</v>
      </c>
      <c r="N33" s="100">
        <v>41087</v>
      </c>
      <c r="O33" s="100">
        <v>41087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1425062</v>
      </c>
      <c r="E34" s="99">
        <v>2</v>
      </c>
      <c r="F34" s="99"/>
      <c r="G34" s="99">
        <v>30</v>
      </c>
      <c r="H34" s="99">
        <v>11</v>
      </c>
      <c r="I34" s="99"/>
      <c r="J34" s="99" t="s">
        <v>64</v>
      </c>
      <c r="K34" s="99" t="b">
        <v>1</v>
      </c>
      <c r="L34" s="95">
        <v>2015</v>
      </c>
      <c r="M34" s="96">
        <v>985634</v>
      </c>
      <c r="N34" s="100">
        <v>41087</v>
      </c>
      <c r="O34" s="100">
        <v>41087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1425062</v>
      </c>
      <c r="E35" s="99">
        <v>2</v>
      </c>
      <c r="F35" s="99"/>
      <c r="G35" s="99">
        <v>23</v>
      </c>
      <c r="H35" s="99" t="s">
        <v>128</v>
      </c>
      <c r="I35" s="99"/>
      <c r="J35" s="99" t="s">
        <v>129</v>
      </c>
      <c r="K35" s="99" t="b">
        <v>1</v>
      </c>
      <c r="L35" s="95">
        <v>2019</v>
      </c>
      <c r="M35" s="96">
        <v>120000</v>
      </c>
      <c r="N35" s="100">
        <v>41087</v>
      </c>
      <c r="O35" s="100">
        <v>41087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1425062</v>
      </c>
      <c r="E36" s="99">
        <v>2</v>
      </c>
      <c r="F36" s="99"/>
      <c r="G36" s="99">
        <v>57</v>
      </c>
      <c r="H36" s="99">
        <v>30</v>
      </c>
      <c r="I36" s="99" t="s">
        <v>251</v>
      </c>
      <c r="J36" s="99" t="s">
        <v>155</v>
      </c>
      <c r="K36" s="99" t="b">
        <v>0</v>
      </c>
      <c r="L36" s="95">
        <v>2017</v>
      </c>
      <c r="M36" s="96">
        <v>1694000</v>
      </c>
      <c r="N36" s="100">
        <v>41087</v>
      </c>
      <c r="O36" s="100">
        <v>41087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1425062</v>
      </c>
      <c r="E37" s="99">
        <v>2</v>
      </c>
      <c r="F37" s="99"/>
      <c r="G37" s="99">
        <v>19</v>
      </c>
      <c r="H37" s="99">
        <v>6</v>
      </c>
      <c r="I37" s="99" t="s">
        <v>244</v>
      </c>
      <c r="J37" s="99" t="s">
        <v>123</v>
      </c>
      <c r="K37" s="99" t="b">
        <v>0</v>
      </c>
      <c r="L37" s="95">
        <v>2016</v>
      </c>
      <c r="M37" s="96">
        <v>4310444</v>
      </c>
      <c r="N37" s="100">
        <v>41087</v>
      </c>
      <c r="O37" s="100">
        <v>41087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1425062</v>
      </c>
      <c r="E38" s="99">
        <v>2</v>
      </c>
      <c r="F38" s="99"/>
      <c r="G38" s="99">
        <v>53</v>
      </c>
      <c r="H38" s="99">
        <v>26</v>
      </c>
      <c r="I38" s="99" t="s">
        <v>242</v>
      </c>
      <c r="J38" s="99" t="s">
        <v>153</v>
      </c>
      <c r="K38" s="99" t="b">
        <v>1</v>
      </c>
      <c r="L38" s="95">
        <v>2012</v>
      </c>
      <c r="M38" s="96">
        <v>31778888.29</v>
      </c>
      <c r="N38" s="100">
        <v>41087</v>
      </c>
      <c r="O38" s="100">
        <v>41087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1425062</v>
      </c>
      <c r="E39" s="99">
        <v>2</v>
      </c>
      <c r="F39" s="99"/>
      <c r="G39" s="99">
        <v>23</v>
      </c>
      <c r="H39" s="99" t="s">
        <v>128</v>
      </c>
      <c r="I39" s="99"/>
      <c r="J39" s="99" t="s">
        <v>129</v>
      </c>
      <c r="K39" s="99" t="b">
        <v>1</v>
      </c>
      <c r="L39" s="95">
        <v>2017</v>
      </c>
      <c r="M39" s="96">
        <v>350000</v>
      </c>
      <c r="N39" s="100">
        <v>41087</v>
      </c>
      <c r="O39" s="100">
        <v>41087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1425062</v>
      </c>
      <c r="E40" s="99">
        <v>2</v>
      </c>
      <c r="F40" s="99"/>
      <c r="G40" s="99">
        <v>9</v>
      </c>
      <c r="H40" s="99" t="s">
        <v>108</v>
      </c>
      <c r="I40" s="99"/>
      <c r="J40" s="99" t="s">
        <v>109</v>
      </c>
      <c r="K40" s="99" t="b">
        <v>0</v>
      </c>
      <c r="L40" s="95">
        <v>2016</v>
      </c>
      <c r="M40" s="96">
        <v>3265718</v>
      </c>
      <c r="N40" s="100">
        <v>41087</v>
      </c>
      <c r="O40" s="100">
        <v>41087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1425062</v>
      </c>
      <c r="E41" s="99">
        <v>2</v>
      </c>
      <c r="F41" s="99"/>
      <c r="G41" s="99">
        <v>44</v>
      </c>
      <c r="H41" s="99">
        <v>20</v>
      </c>
      <c r="I41" s="99" t="s">
        <v>241</v>
      </c>
      <c r="J41" s="99" t="s">
        <v>147</v>
      </c>
      <c r="K41" s="99" t="b">
        <v>1</v>
      </c>
      <c r="L41" s="95">
        <v>2020</v>
      </c>
      <c r="M41" s="96">
        <v>0.0599</v>
      </c>
      <c r="N41" s="100">
        <v>41087</v>
      </c>
      <c r="O41" s="100">
        <v>41087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1425062</v>
      </c>
      <c r="E42" s="99">
        <v>2</v>
      </c>
      <c r="F42" s="99"/>
      <c r="G42" s="99">
        <v>33</v>
      </c>
      <c r="H42" s="99">
        <v>13</v>
      </c>
      <c r="I42" s="99"/>
      <c r="J42" s="99" t="s">
        <v>68</v>
      </c>
      <c r="K42" s="99" t="b">
        <v>1</v>
      </c>
      <c r="L42" s="95">
        <v>2017</v>
      </c>
      <c r="M42" s="96">
        <v>9160211</v>
      </c>
      <c r="N42" s="100">
        <v>41087</v>
      </c>
      <c r="O42" s="100">
        <v>41087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1425062</v>
      </c>
      <c r="E43" s="99">
        <v>2</v>
      </c>
      <c r="F43" s="99"/>
      <c r="G43" s="99">
        <v>43</v>
      </c>
      <c r="H43" s="99" t="s">
        <v>146</v>
      </c>
      <c r="I43" s="99" t="s">
        <v>252</v>
      </c>
      <c r="J43" s="99" t="s">
        <v>76</v>
      </c>
      <c r="K43" s="99" t="b">
        <v>0</v>
      </c>
      <c r="L43" s="95">
        <v>2012</v>
      </c>
      <c r="M43" s="96">
        <v>0.1183</v>
      </c>
      <c r="N43" s="100">
        <v>41087</v>
      </c>
      <c r="O43" s="100">
        <v>41087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1425062</v>
      </c>
      <c r="E44" s="99">
        <v>2</v>
      </c>
      <c r="F44" s="99"/>
      <c r="G44" s="99">
        <v>9</v>
      </c>
      <c r="H44" s="99" t="s">
        <v>108</v>
      </c>
      <c r="I44" s="99"/>
      <c r="J44" s="99" t="s">
        <v>109</v>
      </c>
      <c r="K44" s="99" t="b">
        <v>0</v>
      </c>
      <c r="L44" s="95">
        <v>2012</v>
      </c>
      <c r="M44" s="96">
        <v>2954061</v>
      </c>
      <c r="N44" s="100">
        <v>41087</v>
      </c>
      <c r="O44" s="100">
        <v>41087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1425062</v>
      </c>
      <c r="E45" s="99">
        <v>2</v>
      </c>
      <c r="F45" s="99"/>
      <c r="G45" s="99">
        <v>8</v>
      </c>
      <c r="H45" s="99" t="s">
        <v>106</v>
      </c>
      <c r="I45" s="99"/>
      <c r="J45" s="99" t="s">
        <v>107</v>
      </c>
      <c r="K45" s="99" t="b">
        <v>0</v>
      </c>
      <c r="L45" s="95">
        <v>2016</v>
      </c>
      <c r="M45" s="96">
        <v>16392342</v>
      </c>
      <c r="N45" s="100">
        <v>41087</v>
      </c>
      <c r="O45" s="100">
        <v>41087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1425062</v>
      </c>
      <c r="E46" s="99">
        <v>2</v>
      </c>
      <c r="F46" s="99"/>
      <c r="G46" s="99">
        <v>54</v>
      </c>
      <c r="H46" s="99">
        <v>27</v>
      </c>
      <c r="I46" s="99" t="s">
        <v>250</v>
      </c>
      <c r="J46" s="99" t="s">
        <v>46</v>
      </c>
      <c r="K46" s="99" t="b">
        <v>0</v>
      </c>
      <c r="L46" s="95">
        <v>2019</v>
      </c>
      <c r="M46" s="96">
        <v>32544570</v>
      </c>
      <c r="N46" s="100">
        <v>41087</v>
      </c>
      <c r="O46" s="100">
        <v>41087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1425062</v>
      </c>
      <c r="E47" s="99">
        <v>2</v>
      </c>
      <c r="F47" s="99"/>
      <c r="G47" s="99">
        <v>1</v>
      </c>
      <c r="H47" s="99">
        <v>1</v>
      </c>
      <c r="I47" s="99" t="s">
        <v>253</v>
      </c>
      <c r="J47" s="99" t="s">
        <v>95</v>
      </c>
      <c r="K47" s="99" t="b">
        <v>1</v>
      </c>
      <c r="L47" s="95">
        <v>2019</v>
      </c>
      <c r="M47" s="96">
        <v>34994570</v>
      </c>
      <c r="N47" s="100">
        <v>41087</v>
      </c>
      <c r="O47" s="100">
        <v>41087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1425062</v>
      </c>
      <c r="E48" s="99">
        <v>2</v>
      </c>
      <c r="F48" s="99"/>
      <c r="G48" s="99">
        <v>28</v>
      </c>
      <c r="H48" s="99" t="s">
        <v>134</v>
      </c>
      <c r="I48" s="99"/>
      <c r="J48" s="99" t="s">
        <v>135</v>
      </c>
      <c r="K48" s="99" t="b">
        <v>0</v>
      </c>
      <c r="L48" s="95">
        <v>2015</v>
      </c>
      <c r="M48" s="96">
        <v>3068000</v>
      </c>
      <c r="N48" s="100">
        <v>41087</v>
      </c>
      <c r="O48" s="100">
        <v>41087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1425062</v>
      </c>
      <c r="E49" s="99">
        <v>2</v>
      </c>
      <c r="F49" s="99"/>
      <c r="G49" s="99">
        <v>23</v>
      </c>
      <c r="H49" s="99" t="s">
        <v>128</v>
      </c>
      <c r="I49" s="99"/>
      <c r="J49" s="99" t="s">
        <v>129</v>
      </c>
      <c r="K49" s="99" t="b">
        <v>1</v>
      </c>
      <c r="L49" s="95">
        <v>2016</v>
      </c>
      <c r="M49" s="96">
        <v>500000</v>
      </c>
      <c r="N49" s="100">
        <v>41087</v>
      </c>
      <c r="O49" s="100">
        <v>41087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1425062</v>
      </c>
      <c r="E50" s="99">
        <v>2</v>
      </c>
      <c r="F50" s="99"/>
      <c r="G50" s="99">
        <v>50</v>
      </c>
      <c r="H50" s="99">
        <v>23</v>
      </c>
      <c r="I50" s="99" t="s">
        <v>254</v>
      </c>
      <c r="J50" s="99" t="s">
        <v>151</v>
      </c>
      <c r="K50" s="99" t="b">
        <v>1</v>
      </c>
      <c r="L50" s="95">
        <v>2018</v>
      </c>
      <c r="M50" s="96">
        <v>33878223</v>
      </c>
      <c r="N50" s="100">
        <v>41087</v>
      </c>
      <c r="O50" s="100">
        <v>41087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1425062</v>
      </c>
      <c r="E51" s="99">
        <v>2</v>
      </c>
      <c r="F51" s="99"/>
      <c r="G51" s="99">
        <v>9</v>
      </c>
      <c r="H51" s="99" t="s">
        <v>108</v>
      </c>
      <c r="I51" s="99"/>
      <c r="J51" s="99" t="s">
        <v>109</v>
      </c>
      <c r="K51" s="99" t="b">
        <v>0</v>
      </c>
      <c r="L51" s="95">
        <v>2018</v>
      </c>
      <c r="M51" s="96">
        <v>3434392</v>
      </c>
      <c r="N51" s="100">
        <v>41087</v>
      </c>
      <c r="O51" s="100">
        <v>41087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1425062</v>
      </c>
      <c r="E52" s="99">
        <v>2</v>
      </c>
      <c r="F52" s="99"/>
      <c r="G52" s="99">
        <v>55</v>
      </c>
      <c r="H52" s="99">
        <v>28</v>
      </c>
      <c r="I52" s="99" t="s">
        <v>243</v>
      </c>
      <c r="J52" s="99" t="s">
        <v>48</v>
      </c>
      <c r="K52" s="99" t="b">
        <v>0</v>
      </c>
      <c r="L52" s="95">
        <v>2021</v>
      </c>
      <c r="M52" s="96">
        <v>2566576</v>
      </c>
      <c r="N52" s="100">
        <v>41087</v>
      </c>
      <c r="O52" s="100">
        <v>41087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1425062</v>
      </c>
      <c r="E53" s="99">
        <v>2</v>
      </c>
      <c r="F53" s="99"/>
      <c r="G53" s="99">
        <v>49</v>
      </c>
      <c r="H53" s="99" t="s">
        <v>150</v>
      </c>
      <c r="I53" s="99" t="s">
        <v>248</v>
      </c>
      <c r="J53" s="99" t="s">
        <v>81</v>
      </c>
      <c r="K53" s="99" t="b">
        <v>0</v>
      </c>
      <c r="L53" s="95">
        <v>2022</v>
      </c>
      <c r="M53" s="96">
        <v>349</v>
      </c>
      <c r="N53" s="100">
        <v>41087</v>
      </c>
      <c r="O53" s="100">
        <v>41087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1425062</v>
      </c>
      <c r="E54" s="99">
        <v>2</v>
      </c>
      <c r="F54" s="99"/>
      <c r="G54" s="99">
        <v>57</v>
      </c>
      <c r="H54" s="99">
        <v>30</v>
      </c>
      <c r="I54" s="99" t="s">
        <v>251</v>
      </c>
      <c r="J54" s="99" t="s">
        <v>155</v>
      </c>
      <c r="K54" s="99" t="b">
        <v>0</v>
      </c>
      <c r="L54" s="95">
        <v>2014</v>
      </c>
      <c r="M54" s="96">
        <v>781000</v>
      </c>
      <c r="N54" s="100">
        <v>41087</v>
      </c>
      <c r="O54" s="100">
        <v>41087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1425062</v>
      </c>
      <c r="E55" s="99">
        <v>2</v>
      </c>
      <c r="F55" s="99"/>
      <c r="G55" s="99">
        <v>45</v>
      </c>
      <c r="H55" s="99" t="s">
        <v>148</v>
      </c>
      <c r="I55" s="99" t="s">
        <v>245</v>
      </c>
      <c r="J55" s="99" t="s">
        <v>53</v>
      </c>
      <c r="K55" s="99" t="b">
        <v>0</v>
      </c>
      <c r="L55" s="95">
        <v>2017</v>
      </c>
      <c r="M55" s="96">
        <v>0.0621</v>
      </c>
      <c r="N55" s="100">
        <v>41087</v>
      </c>
      <c r="O55" s="100">
        <v>41087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1425062</v>
      </c>
      <c r="E56" s="99">
        <v>2</v>
      </c>
      <c r="F56" s="99"/>
      <c r="G56" s="99">
        <v>20</v>
      </c>
      <c r="H56" s="99">
        <v>7</v>
      </c>
      <c r="I56" s="99" t="s">
        <v>255</v>
      </c>
      <c r="J56" s="99" t="s">
        <v>12</v>
      </c>
      <c r="K56" s="99" t="b">
        <v>1</v>
      </c>
      <c r="L56" s="95">
        <v>2018</v>
      </c>
      <c r="M56" s="96">
        <v>2200000</v>
      </c>
      <c r="N56" s="100">
        <v>41087</v>
      </c>
      <c r="O56" s="100">
        <v>41087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1425062</v>
      </c>
      <c r="E57" s="99">
        <v>2</v>
      </c>
      <c r="F57" s="99"/>
      <c r="G57" s="99">
        <v>53</v>
      </c>
      <c r="H57" s="99">
        <v>26</v>
      </c>
      <c r="I57" s="99" t="s">
        <v>242</v>
      </c>
      <c r="J57" s="99" t="s">
        <v>153</v>
      </c>
      <c r="K57" s="99" t="b">
        <v>1</v>
      </c>
      <c r="L57" s="95">
        <v>2013</v>
      </c>
      <c r="M57" s="96">
        <v>31283833</v>
      </c>
      <c r="N57" s="100">
        <v>41087</v>
      </c>
      <c r="O57" s="100">
        <v>41087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1425062</v>
      </c>
      <c r="E58" s="99">
        <v>2</v>
      </c>
      <c r="F58" s="99"/>
      <c r="G58" s="99">
        <v>42</v>
      </c>
      <c r="H58" s="99">
        <v>19</v>
      </c>
      <c r="I58" s="99" t="s">
        <v>249</v>
      </c>
      <c r="J58" s="99" t="s">
        <v>74</v>
      </c>
      <c r="K58" s="99" t="b">
        <v>1</v>
      </c>
      <c r="L58" s="95">
        <v>2014</v>
      </c>
      <c r="M58" s="96">
        <v>0.0434</v>
      </c>
      <c r="N58" s="100">
        <v>41087</v>
      </c>
      <c r="O58" s="100">
        <v>41087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1425062</v>
      </c>
      <c r="E59" s="99">
        <v>2</v>
      </c>
      <c r="F59" s="99"/>
      <c r="G59" s="99">
        <v>57</v>
      </c>
      <c r="H59" s="99">
        <v>30</v>
      </c>
      <c r="I59" s="99" t="s">
        <v>251</v>
      </c>
      <c r="J59" s="99" t="s">
        <v>155</v>
      </c>
      <c r="K59" s="99" t="b">
        <v>0</v>
      </c>
      <c r="L59" s="95">
        <v>2020</v>
      </c>
      <c r="M59" s="96">
        <v>500000</v>
      </c>
      <c r="N59" s="100">
        <v>41087</v>
      </c>
      <c r="O59" s="100">
        <v>41087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1425062</v>
      </c>
      <c r="E60" s="99">
        <v>2</v>
      </c>
      <c r="F60" s="99"/>
      <c r="G60" s="99">
        <v>49</v>
      </c>
      <c r="H60" s="99" t="s">
        <v>150</v>
      </c>
      <c r="I60" s="99" t="s">
        <v>248</v>
      </c>
      <c r="J60" s="99" t="s">
        <v>81</v>
      </c>
      <c r="K60" s="99" t="b">
        <v>0</v>
      </c>
      <c r="L60" s="95">
        <v>2018</v>
      </c>
      <c r="M60" s="96">
        <v>35</v>
      </c>
      <c r="N60" s="100">
        <v>41087</v>
      </c>
      <c r="O60" s="100">
        <v>41087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1425062</v>
      </c>
      <c r="E61" s="99">
        <v>2</v>
      </c>
      <c r="F61" s="99"/>
      <c r="G61" s="99">
        <v>37</v>
      </c>
      <c r="H61" s="99">
        <v>16</v>
      </c>
      <c r="I61" s="99"/>
      <c r="J61" s="99" t="s">
        <v>142</v>
      </c>
      <c r="K61" s="99" t="b">
        <v>1</v>
      </c>
      <c r="L61" s="95">
        <v>2019</v>
      </c>
      <c r="M61" s="96">
        <v>2450000</v>
      </c>
      <c r="N61" s="100">
        <v>41087</v>
      </c>
      <c r="O61" s="100">
        <v>41087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1425062</v>
      </c>
      <c r="E62" s="99">
        <v>2</v>
      </c>
      <c r="F62" s="99"/>
      <c r="G62" s="99">
        <v>27</v>
      </c>
      <c r="H62" s="99">
        <v>10</v>
      </c>
      <c r="I62" s="99"/>
      <c r="J62" s="99" t="s">
        <v>18</v>
      </c>
      <c r="K62" s="99" t="b">
        <v>0</v>
      </c>
      <c r="L62" s="95">
        <v>2022</v>
      </c>
      <c r="M62" s="96">
        <v>2107995</v>
      </c>
      <c r="N62" s="100">
        <v>41087</v>
      </c>
      <c r="O62" s="100">
        <v>41087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1425062</v>
      </c>
      <c r="E63" s="99">
        <v>2</v>
      </c>
      <c r="F63" s="99"/>
      <c r="G63" s="99">
        <v>41</v>
      </c>
      <c r="H63" s="99" t="s">
        <v>145</v>
      </c>
      <c r="I63" s="99" t="s">
        <v>256</v>
      </c>
      <c r="J63" s="99" t="s">
        <v>73</v>
      </c>
      <c r="K63" s="99" t="b">
        <v>0</v>
      </c>
      <c r="L63" s="95">
        <v>2018</v>
      </c>
      <c r="M63" s="96">
        <v>0.2128</v>
      </c>
      <c r="N63" s="100">
        <v>41087</v>
      </c>
      <c r="O63" s="100">
        <v>41087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1425062</v>
      </c>
      <c r="E64" s="99">
        <v>2</v>
      </c>
      <c r="F64" s="99"/>
      <c r="G64" s="99">
        <v>33</v>
      </c>
      <c r="H64" s="99">
        <v>13</v>
      </c>
      <c r="I64" s="99"/>
      <c r="J64" s="99" t="s">
        <v>68</v>
      </c>
      <c r="K64" s="99" t="b">
        <v>1</v>
      </c>
      <c r="L64" s="95">
        <v>2016</v>
      </c>
      <c r="M64" s="96">
        <v>10854211</v>
      </c>
      <c r="N64" s="100">
        <v>41087</v>
      </c>
      <c r="O64" s="100">
        <v>41087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1425062</v>
      </c>
      <c r="E65" s="99">
        <v>2</v>
      </c>
      <c r="F65" s="99"/>
      <c r="G65" s="99">
        <v>53</v>
      </c>
      <c r="H65" s="99">
        <v>26</v>
      </c>
      <c r="I65" s="99" t="s">
        <v>242</v>
      </c>
      <c r="J65" s="99" t="s">
        <v>153</v>
      </c>
      <c r="K65" s="99" t="b">
        <v>1</v>
      </c>
      <c r="L65" s="95">
        <v>2014</v>
      </c>
      <c r="M65" s="96">
        <v>31794363</v>
      </c>
      <c r="N65" s="100">
        <v>41087</v>
      </c>
      <c r="O65" s="100">
        <v>41087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1425062</v>
      </c>
      <c r="E66" s="99">
        <v>2</v>
      </c>
      <c r="F66" s="99"/>
      <c r="G66" s="99">
        <v>52</v>
      </c>
      <c r="H66" s="99">
        <v>25</v>
      </c>
      <c r="I66" s="99" t="s">
        <v>240</v>
      </c>
      <c r="J66" s="99" t="s">
        <v>49</v>
      </c>
      <c r="K66" s="99" t="b">
        <v>1</v>
      </c>
      <c r="L66" s="95">
        <v>2019</v>
      </c>
      <c r="M66" s="96">
        <v>3292279</v>
      </c>
      <c r="N66" s="100">
        <v>41087</v>
      </c>
      <c r="O66" s="100">
        <v>41087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1425062</v>
      </c>
      <c r="E67" s="99">
        <v>2</v>
      </c>
      <c r="F67" s="99"/>
      <c r="G67" s="99">
        <v>21</v>
      </c>
      <c r="H67" s="99" t="s">
        <v>124</v>
      </c>
      <c r="I67" s="99"/>
      <c r="J67" s="99" t="s">
        <v>125</v>
      </c>
      <c r="K67" s="99" t="b">
        <v>1</v>
      </c>
      <c r="L67" s="95">
        <v>2019</v>
      </c>
      <c r="M67" s="96">
        <v>2450000</v>
      </c>
      <c r="N67" s="100">
        <v>41087</v>
      </c>
      <c r="O67" s="100">
        <v>41087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1425062</v>
      </c>
      <c r="E68" s="99">
        <v>2</v>
      </c>
      <c r="F68" s="99"/>
      <c r="G68" s="99">
        <v>47</v>
      </c>
      <c r="H68" s="99" t="s">
        <v>149</v>
      </c>
      <c r="I68" s="99" t="s">
        <v>257</v>
      </c>
      <c r="J68" s="99" t="s">
        <v>78</v>
      </c>
      <c r="K68" s="99" t="b">
        <v>0</v>
      </c>
      <c r="L68" s="95">
        <v>2015</v>
      </c>
      <c r="M68" s="96">
        <v>27</v>
      </c>
      <c r="N68" s="100">
        <v>41087</v>
      </c>
      <c r="O68" s="100">
        <v>41087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1425062</v>
      </c>
      <c r="E69" s="99">
        <v>2</v>
      </c>
      <c r="F69" s="99"/>
      <c r="G69" s="99">
        <v>30</v>
      </c>
      <c r="H69" s="99">
        <v>11</v>
      </c>
      <c r="I69" s="99"/>
      <c r="J69" s="99" t="s">
        <v>64</v>
      </c>
      <c r="K69" s="99" t="b">
        <v>1</v>
      </c>
      <c r="L69" s="95">
        <v>2013</v>
      </c>
      <c r="M69" s="96">
        <v>3040000</v>
      </c>
      <c r="N69" s="100">
        <v>41087</v>
      </c>
      <c r="O69" s="100">
        <v>41087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1425062</v>
      </c>
      <c r="E70" s="99">
        <v>2</v>
      </c>
      <c r="F70" s="99"/>
      <c r="G70" s="99">
        <v>55</v>
      </c>
      <c r="H70" s="99">
        <v>28</v>
      </c>
      <c r="I70" s="99" t="s">
        <v>243</v>
      </c>
      <c r="J70" s="99" t="s">
        <v>48</v>
      </c>
      <c r="K70" s="99" t="b">
        <v>0</v>
      </c>
      <c r="L70" s="95">
        <v>2013</v>
      </c>
      <c r="M70" s="96">
        <v>630600</v>
      </c>
      <c r="N70" s="100">
        <v>41087</v>
      </c>
      <c r="O70" s="100">
        <v>41087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1425062</v>
      </c>
      <c r="E71" s="99">
        <v>2</v>
      </c>
      <c r="F71" s="99"/>
      <c r="G71" s="99">
        <v>26</v>
      </c>
      <c r="H71" s="99">
        <v>9</v>
      </c>
      <c r="I71" s="99" t="s">
        <v>239</v>
      </c>
      <c r="J71" s="99" t="s">
        <v>133</v>
      </c>
      <c r="K71" s="99" t="b">
        <v>0</v>
      </c>
      <c r="L71" s="95">
        <v>2018</v>
      </c>
      <c r="M71" s="96">
        <v>706476</v>
      </c>
      <c r="N71" s="100">
        <v>41087</v>
      </c>
      <c r="O71" s="100">
        <v>41087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1425062</v>
      </c>
      <c r="E72" s="99">
        <v>2</v>
      </c>
      <c r="F72" s="99"/>
      <c r="G72" s="99">
        <v>53</v>
      </c>
      <c r="H72" s="99">
        <v>26</v>
      </c>
      <c r="I72" s="99" t="s">
        <v>242</v>
      </c>
      <c r="J72" s="99" t="s">
        <v>153</v>
      </c>
      <c r="K72" s="99" t="b">
        <v>1</v>
      </c>
      <c r="L72" s="95">
        <v>2022</v>
      </c>
      <c r="M72" s="96">
        <v>38130238</v>
      </c>
      <c r="N72" s="100">
        <v>41087</v>
      </c>
      <c r="O72" s="100">
        <v>41087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1425062</v>
      </c>
      <c r="E73" s="99">
        <v>2</v>
      </c>
      <c r="F73" s="99"/>
      <c r="G73" s="99">
        <v>7</v>
      </c>
      <c r="H73" s="99">
        <v>2</v>
      </c>
      <c r="I73" s="99"/>
      <c r="J73" s="99" t="s">
        <v>3</v>
      </c>
      <c r="K73" s="99" t="b">
        <v>1</v>
      </c>
      <c r="L73" s="95">
        <v>2014</v>
      </c>
      <c r="M73" s="96">
        <v>27741737</v>
      </c>
      <c r="N73" s="100">
        <v>41087</v>
      </c>
      <c r="O73" s="100">
        <v>41087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1425062</v>
      </c>
      <c r="E74" s="99">
        <v>2</v>
      </c>
      <c r="F74" s="99"/>
      <c r="G74" s="99">
        <v>40</v>
      </c>
      <c r="H74" s="99">
        <v>18</v>
      </c>
      <c r="I74" s="99" t="s">
        <v>258</v>
      </c>
      <c r="J74" s="99" t="s">
        <v>71</v>
      </c>
      <c r="K74" s="99" t="b">
        <v>0</v>
      </c>
      <c r="L74" s="95">
        <v>2019</v>
      </c>
      <c r="M74" s="96">
        <v>0.136</v>
      </c>
      <c r="N74" s="100">
        <v>41087</v>
      </c>
      <c r="O74" s="100">
        <v>41087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1425062</v>
      </c>
      <c r="E75" s="99">
        <v>2</v>
      </c>
      <c r="F75" s="99"/>
      <c r="G75" s="99">
        <v>42</v>
      </c>
      <c r="H75" s="99">
        <v>19</v>
      </c>
      <c r="I75" s="99" t="s">
        <v>249</v>
      </c>
      <c r="J75" s="99" t="s">
        <v>74</v>
      </c>
      <c r="K75" s="99" t="b">
        <v>1</v>
      </c>
      <c r="L75" s="95">
        <v>2022</v>
      </c>
      <c r="M75" s="96">
        <v>0.0476</v>
      </c>
      <c r="N75" s="100">
        <v>41087</v>
      </c>
      <c r="O75" s="100">
        <v>41087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1425062</v>
      </c>
      <c r="E76" s="99">
        <v>2</v>
      </c>
      <c r="F76" s="99"/>
      <c r="G76" s="99">
        <v>52</v>
      </c>
      <c r="H76" s="99">
        <v>25</v>
      </c>
      <c r="I76" s="99" t="s">
        <v>240</v>
      </c>
      <c r="J76" s="99" t="s">
        <v>49</v>
      </c>
      <c r="K76" s="99" t="b">
        <v>1</v>
      </c>
      <c r="L76" s="95">
        <v>2012</v>
      </c>
      <c r="M76" s="96">
        <v>1770656</v>
      </c>
      <c r="N76" s="100">
        <v>41087</v>
      </c>
      <c r="O76" s="100">
        <v>41087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1425062</v>
      </c>
      <c r="E77" s="99">
        <v>2</v>
      </c>
      <c r="F77" s="99"/>
      <c r="G77" s="99">
        <v>13</v>
      </c>
      <c r="H77" s="99" t="s">
        <v>116</v>
      </c>
      <c r="I77" s="99"/>
      <c r="J77" s="99" t="s">
        <v>117</v>
      </c>
      <c r="K77" s="99" t="b">
        <v>0</v>
      </c>
      <c r="L77" s="95">
        <v>2012</v>
      </c>
      <c r="M77" s="96">
        <v>147420</v>
      </c>
      <c r="N77" s="100">
        <v>41087</v>
      </c>
      <c r="O77" s="100">
        <v>41087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1425062</v>
      </c>
      <c r="E78" s="99">
        <v>2</v>
      </c>
      <c r="F78" s="99"/>
      <c r="G78" s="99">
        <v>20</v>
      </c>
      <c r="H78" s="99">
        <v>7</v>
      </c>
      <c r="I78" s="99" t="s">
        <v>255</v>
      </c>
      <c r="J78" s="99" t="s">
        <v>12</v>
      </c>
      <c r="K78" s="99" t="b">
        <v>1</v>
      </c>
      <c r="L78" s="95">
        <v>2012</v>
      </c>
      <c r="M78" s="96">
        <v>3796952</v>
      </c>
      <c r="N78" s="100">
        <v>41087</v>
      </c>
      <c r="O78" s="100">
        <v>41087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1425062</v>
      </c>
      <c r="E79" s="99">
        <v>2</v>
      </c>
      <c r="F79" s="99"/>
      <c r="G79" s="99">
        <v>13</v>
      </c>
      <c r="H79" s="99" t="s">
        <v>116</v>
      </c>
      <c r="I79" s="99"/>
      <c r="J79" s="99" t="s">
        <v>117</v>
      </c>
      <c r="K79" s="99" t="b">
        <v>0</v>
      </c>
      <c r="L79" s="95">
        <v>2013</v>
      </c>
      <c r="M79" s="96">
        <v>190000</v>
      </c>
      <c r="N79" s="100">
        <v>41087</v>
      </c>
      <c r="O79" s="100">
        <v>41087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1425062</v>
      </c>
      <c r="E80" s="99">
        <v>2</v>
      </c>
      <c r="F80" s="99"/>
      <c r="G80" s="99">
        <v>19</v>
      </c>
      <c r="H80" s="99">
        <v>6</v>
      </c>
      <c r="I80" s="99" t="s">
        <v>244</v>
      </c>
      <c r="J80" s="99" t="s">
        <v>123</v>
      </c>
      <c r="K80" s="99" t="b">
        <v>0</v>
      </c>
      <c r="L80" s="95">
        <v>2012</v>
      </c>
      <c r="M80" s="96">
        <v>5778280</v>
      </c>
      <c r="N80" s="100">
        <v>41087</v>
      </c>
      <c r="O80" s="100">
        <v>41087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1425062</v>
      </c>
      <c r="E81" s="99">
        <v>2</v>
      </c>
      <c r="F81" s="99"/>
      <c r="G81" s="99">
        <v>46</v>
      </c>
      <c r="H81" s="99">
        <v>21</v>
      </c>
      <c r="I81" s="99" t="s">
        <v>259</v>
      </c>
      <c r="J81" s="99" t="s">
        <v>54</v>
      </c>
      <c r="K81" s="99" t="b">
        <v>1</v>
      </c>
      <c r="L81" s="95">
        <v>2022</v>
      </c>
      <c r="M81" s="96">
        <v>0.0476</v>
      </c>
      <c r="N81" s="100">
        <v>41087</v>
      </c>
      <c r="O81" s="100">
        <v>41087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1425062</v>
      </c>
      <c r="E82" s="99">
        <v>2</v>
      </c>
      <c r="F82" s="99"/>
      <c r="G82" s="99">
        <v>52</v>
      </c>
      <c r="H82" s="99">
        <v>25</v>
      </c>
      <c r="I82" s="99" t="s">
        <v>240</v>
      </c>
      <c r="J82" s="99" t="s">
        <v>49</v>
      </c>
      <c r="K82" s="99" t="b">
        <v>1</v>
      </c>
      <c r="L82" s="95">
        <v>2020</v>
      </c>
      <c r="M82" s="96">
        <v>2110059</v>
      </c>
      <c r="N82" s="100">
        <v>41087</v>
      </c>
      <c r="O82" s="100">
        <v>41087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1425062</v>
      </c>
      <c r="E83" s="99">
        <v>2</v>
      </c>
      <c r="F83" s="99"/>
      <c r="G83" s="99">
        <v>47</v>
      </c>
      <c r="H83" s="99" t="s">
        <v>149</v>
      </c>
      <c r="I83" s="99" t="s">
        <v>257</v>
      </c>
      <c r="J83" s="99" t="s">
        <v>78</v>
      </c>
      <c r="K83" s="99" t="b">
        <v>0</v>
      </c>
      <c r="L83" s="95">
        <v>2014</v>
      </c>
      <c r="M83" s="96">
        <v>19</v>
      </c>
      <c r="N83" s="100">
        <v>41087</v>
      </c>
      <c r="O83" s="100">
        <v>41087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1425062</v>
      </c>
      <c r="E84" s="99">
        <v>2</v>
      </c>
      <c r="F84" s="99"/>
      <c r="G84" s="99">
        <v>45</v>
      </c>
      <c r="H84" s="99" t="s">
        <v>148</v>
      </c>
      <c r="I84" s="99" t="s">
        <v>245</v>
      </c>
      <c r="J84" s="99" t="s">
        <v>53</v>
      </c>
      <c r="K84" s="99" t="b">
        <v>0</v>
      </c>
      <c r="L84" s="95">
        <v>2012</v>
      </c>
      <c r="M84" s="96">
        <v>0.0931</v>
      </c>
      <c r="N84" s="100">
        <v>41087</v>
      </c>
      <c r="O84" s="100">
        <v>41087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1425062</v>
      </c>
      <c r="E85" s="99">
        <v>2</v>
      </c>
      <c r="F85" s="99"/>
      <c r="G85" s="99">
        <v>55</v>
      </c>
      <c r="H85" s="99">
        <v>28</v>
      </c>
      <c r="I85" s="99" t="s">
        <v>243</v>
      </c>
      <c r="J85" s="99" t="s">
        <v>48</v>
      </c>
      <c r="K85" s="99" t="b">
        <v>0</v>
      </c>
      <c r="L85" s="95">
        <v>2012</v>
      </c>
      <c r="M85" s="96">
        <v>-498448</v>
      </c>
      <c r="N85" s="100">
        <v>41087</v>
      </c>
      <c r="O85" s="100">
        <v>41087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1425062</v>
      </c>
      <c r="E86" s="99">
        <v>2</v>
      </c>
      <c r="F86" s="99"/>
      <c r="G86" s="99">
        <v>2</v>
      </c>
      <c r="H86" s="99" t="s">
        <v>96</v>
      </c>
      <c r="I86" s="99"/>
      <c r="J86" s="99" t="s">
        <v>97</v>
      </c>
      <c r="K86" s="99" t="b">
        <v>1</v>
      </c>
      <c r="L86" s="95">
        <v>2016</v>
      </c>
      <c r="M86" s="96">
        <v>31983475</v>
      </c>
      <c r="N86" s="100">
        <v>41087</v>
      </c>
      <c r="O86" s="100">
        <v>41087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1425062</v>
      </c>
      <c r="E87" s="99">
        <v>2</v>
      </c>
      <c r="F87" s="99"/>
      <c r="G87" s="99">
        <v>20</v>
      </c>
      <c r="H87" s="99">
        <v>7</v>
      </c>
      <c r="I87" s="99" t="s">
        <v>255</v>
      </c>
      <c r="J87" s="99" t="s">
        <v>12</v>
      </c>
      <c r="K87" s="99" t="b">
        <v>1</v>
      </c>
      <c r="L87" s="95">
        <v>2013</v>
      </c>
      <c r="M87" s="96">
        <v>4390600</v>
      </c>
      <c r="N87" s="100">
        <v>41087</v>
      </c>
      <c r="O87" s="100">
        <v>41087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1425062</v>
      </c>
      <c r="E88" s="99">
        <v>2</v>
      </c>
      <c r="F88" s="99"/>
      <c r="G88" s="99">
        <v>19</v>
      </c>
      <c r="H88" s="99">
        <v>6</v>
      </c>
      <c r="I88" s="99" t="s">
        <v>244</v>
      </c>
      <c r="J88" s="99" t="s">
        <v>123</v>
      </c>
      <c r="K88" s="99" t="b">
        <v>0</v>
      </c>
      <c r="L88" s="95">
        <v>2022</v>
      </c>
      <c r="M88" s="96">
        <v>3921630</v>
      </c>
      <c r="N88" s="100">
        <v>41087</v>
      </c>
      <c r="O88" s="100">
        <v>41087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1425062</v>
      </c>
      <c r="E89" s="99">
        <v>2</v>
      </c>
      <c r="F89" s="99"/>
      <c r="G89" s="99">
        <v>47</v>
      </c>
      <c r="H89" s="99" t="s">
        <v>149</v>
      </c>
      <c r="I89" s="99" t="s">
        <v>257</v>
      </c>
      <c r="J89" s="99" t="s">
        <v>78</v>
      </c>
      <c r="K89" s="99" t="b">
        <v>0</v>
      </c>
      <c r="L89" s="95">
        <v>2016</v>
      </c>
      <c r="M89" s="96">
        <v>44</v>
      </c>
      <c r="N89" s="100">
        <v>41087</v>
      </c>
      <c r="O89" s="100">
        <v>41087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1425062</v>
      </c>
      <c r="E90" s="99">
        <v>2</v>
      </c>
      <c r="F90" s="99"/>
      <c r="G90" s="99">
        <v>2</v>
      </c>
      <c r="H90" s="99" t="s">
        <v>96</v>
      </c>
      <c r="I90" s="99"/>
      <c r="J90" s="99" t="s">
        <v>97</v>
      </c>
      <c r="K90" s="99" t="b">
        <v>1</v>
      </c>
      <c r="L90" s="95">
        <v>2013</v>
      </c>
      <c r="M90" s="96">
        <v>29768833</v>
      </c>
      <c r="N90" s="100">
        <v>41087</v>
      </c>
      <c r="O90" s="100">
        <v>41087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1425062</v>
      </c>
      <c r="E91" s="99">
        <v>2</v>
      </c>
      <c r="F91" s="99"/>
      <c r="G91" s="99">
        <v>24</v>
      </c>
      <c r="H91" s="99" t="s">
        <v>130</v>
      </c>
      <c r="I91" s="99"/>
      <c r="J91" s="99" t="s">
        <v>131</v>
      </c>
      <c r="K91" s="99" t="b">
        <v>1</v>
      </c>
      <c r="L91" s="95">
        <v>2018</v>
      </c>
      <c r="M91" s="96">
        <v>250000</v>
      </c>
      <c r="N91" s="100">
        <v>41087</v>
      </c>
      <c r="O91" s="100">
        <v>41087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1425062</v>
      </c>
      <c r="E92" s="99">
        <v>2</v>
      </c>
      <c r="F92" s="99"/>
      <c r="G92" s="99">
        <v>33</v>
      </c>
      <c r="H92" s="99">
        <v>13</v>
      </c>
      <c r="I92" s="99"/>
      <c r="J92" s="99" t="s">
        <v>68</v>
      </c>
      <c r="K92" s="99" t="b">
        <v>1</v>
      </c>
      <c r="L92" s="95">
        <v>2014</v>
      </c>
      <c r="M92" s="96">
        <v>11703774</v>
      </c>
      <c r="N92" s="100">
        <v>41087</v>
      </c>
      <c r="O92" s="100">
        <v>41087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1425062</v>
      </c>
      <c r="E93" s="99">
        <v>2</v>
      </c>
      <c r="F93" s="99"/>
      <c r="G93" s="99">
        <v>37</v>
      </c>
      <c r="H93" s="99">
        <v>16</v>
      </c>
      <c r="I93" s="99"/>
      <c r="J93" s="99" t="s">
        <v>142</v>
      </c>
      <c r="K93" s="99" t="b">
        <v>1</v>
      </c>
      <c r="L93" s="95">
        <v>2015</v>
      </c>
      <c r="M93" s="96">
        <v>411266</v>
      </c>
      <c r="N93" s="100">
        <v>41087</v>
      </c>
      <c r="O93" s="100">
        <v>41087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1425062</v>
      </c>
      <c r="E94" s="99">
        <v>2</v>
      </c>
      <c r="F94" s="99"/>
      <c r="G94" s="99">
        <v>2</v>
      </c>
      <c r="H94" s="99" t="s">
        <v>96</v>
      </c>
      <c r="I94" s="99"/>
      <c r="J94" s="99" t="s">
        <v>97</v>
      </c>
      <c r="K94" s="99" t="b">
        <v>1</v>
      </c>
      <c r="L94" s="95">
        <v>2014</v>
      </c>
      <c r="M94" s="96">
        <v>30279363</v>
      </c>
      <c r="N94" s="100">
        <v>41087</v>
      </c>
      <c r="O94" s="100">
        <v>41087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1425062</v>
      </c>
      <c r="E95" s="99">
        <v>2</v>
      </c>
      <c r="F95" s="99"/>
      <c r="G95" s="99">
        <v>26</v>
      </c>
      <c r="H95" s="99">
        <v>9</v>
      </c>
      <c r="I95" s="99" t="s">
        <v>239</v>
      </c>
      <c r="J95" s="99" t="s">
        <v>133</v>
      </c>
      <c r="K95" s="99" t="b">
        <v>0</v>
      </c>
      <c r="L95" s="95">
        <v>2014</v>
      </c>
      <c r="M95" s="96">
        <v>2661626</v>
      </c>
      <c r="N95" s="100">
        <v>41087</v>
      </c>
      <c r="O95" s="100">
        <v>41087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1425062</v>
      </c>
      <c r="E96" s="99">
        <v>2</v>
      </c>
      <c r="F96" s="99"/>
      <c r="G96" s="99">
        <v>29</v>
      </c>
      <c r="H96" s="99" t="s">
        <v>136</v>
      </c>
      <c r="I96" s="99"/>
      <c r="J96" s="99" t="s">
        <v>117</v>
      </c>
      <c r="K96" s="99" t="b">
        <v>0</v>
      </c>
      <c r="L96" s="95">
        <v>2016</v>
      </c>
      <c r="M96" s="96">
        <v>3156930</v>
      </c>
      <c r="N96" s="100">
        <v>41087</v>
      </c>
      <c r="O96" s="100">
        <v>41087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1425062</v>
      </c>
      <c r="E97" s="99">
        <v>2</v>
      </c>
      <c r="F97" s="99"/>
      <c r="G97" s="99">
        <v>19</v>
      </c>
      <c r="H97" s="99">
        <v>6</v>
      </c>
      <c r="I97" s="99" t="s">
        <v>244</v>
      </c>
      <c r="J97" s="99" t="s">
        <v>123</v>
      </c>
      <c r="K97" s="99" t="b">
        <v>0</v>
      </c>
      <c r="L97" s="95">
        <v>2019</v>
      </c>
      <c r="M97" s="96">
        <v>3412279</v>
      </c>
      <c r="N97" s="100">
        <v>41087</v>
      </c>
      <c r="O97" s="100">
        <v>41087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1425062</v>
      </c>
      <c r="E98" s="99">
        <v>2</v>
      </c>
      <c r="F98" s="99"/>
      <c r="G98" s="99">
        <v>9</v>
      </c>
      <c r="H98" s="99" t="s">
        <v>108</v>
      </c>
      <c r="I98" s="99"/>
      <c r="J98" s="99" t="s">
        <v>109</v>
      </c>
      <c r="K98" s="99" t="b">
        <v>0</v>
      </c>
      <c r="L98" s="95">
        <v>2019</v>
      </c>
      <c r="M98" s="96">
        <v>3520252</v>
      </c>
      <c r="N98" s="100">
        <v>41087</v>
      </c>
      <c r="O98" s="100">
        <v>41087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1425062</v>
      </c>
      <c r="E99" s="99">
        <v>2</v>
      </c>
      <c r="F99" s="99"/>
      <c r="G99" s="99">
        <v>1</v>
      </c>
      <c r="H99" s="99">
        <v>1</v>
      </c>
      <c r="I99" s="99" t="s">
        <v>253</v>
      </c>
      <c r="J99" s="99" t="s">
        <v>95</v>
      </c>
      <c r="K99" s="99" t="b">
        <v>1</v>
      </c>
      <c r="L99" s="95">
        <v>2021</v>
      </c>
      <c r="M99" s="96">
        <v>37019649</v>
      </c>
      <c r="N99" s="100">
        <v>41087</v>
      </c>
      <c r="O99" s="100">
        <v>41087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1425062</v>
      </c>
      <c r="E100" s="99">
        <v>2</v>
      </c>
      <c r="F100" s="99"/>
      <c r="G100" s="99">
        <v>2</v>
      </c>
      <c r="H100" s="99" t="s">
        <v>96</v>
      </c>
      <c r="I100" s="99"/>
      <c r="J100" s="99" t="s">
        <v>97</v>
      </c>
      <c r="K100" s="99" t="b">
        <v>1</v>
      </c>
      <c r="L100" s="95">
        <v>2017</v>
      </c>
      <c r="M100" s="96">
        <v>32991479</v>
      </c>
      <c r="N100" s="100">
        <v>41087</v>
      </c>
      <c r="O100" s="100">
        <v>41087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1425062</v>
      </c>
      <c r="E101" s="99">
        <v>2</v>
      </c>
      <c r="F101" s="99"/>
      <c r="G101" s="99">
        <v>40</v>
      </c>
      <c r="H101" s="99">
        <v>18</v>
      </c>
      <c r="I101" s="99" t="s">
        <v>258</v>
      </c>
      <c r="J101" s="99" t="s">
        <v>71</v>
      </c>
      <c r="K101" s="99" t="b">
        <v>0</v>
      </c>
      <c r="L101" s="95">
        <v>2021</v>
      </c>
      <c r="M101" s="96">
        <v>0.0457</v>
      </c>
      <c r="N101" s="100">
        <v>41087</v>
      </c>
      <c r="O101" s="100">
        <v>41087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1425062</v>
      </c>
      <c r="E102" s="99">
        <v>2</v>
      </c>
      <c r="F102" s="99"/>
      <c r="G102" s="99">
        <v>45</v>
      </c>
      <c r="H102" s="99" t="s">
        <v>148</v>
      </c>
      <c r="I102" s="99" t="s">
        <v>245</v>
      </c>
      <c r="J102" s="99" t="s">
        <v>53</v>
      </c>
      <c r="K102" s="99" t="b">
        <v>0</v>
      </c>
      <c r="L102" s="95">
        <v>2013</v>
      </c>
      <c r="M102" s="96">
        <v>0.0573</v>
      </c>
      <c r="N102" s="100">
        <v>41087</v>
      </c>
      <c r="O102" s="100">
        <v>41087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1425062</v>
      </c>
      <c r="E103" s="99">
        <v>2</v>
      </c>
      <c r="F103" s="99"/>
      <c r="G103" s="99">
        <v>51</v>
      </c>
      <c r="H103" s="99">
        <v>24</v>
      </c>
      <c r="I103" s="99" t="s">
        <v>260</v>
      </c>
      <c r="J103" s="99" t="s">
        <v>152</v>
      </c>
      <c r="K103" s="99" t="b">
        <v>1</v>
      </c>
      <c r="L103" s="95">
        <v>2020</v>
      </c>
      <c r="M103" s="96">
        <v>33131348</v>
      </c>
      <c r="N103" s="100">
        <v>41087</v>
      </c>
      <c r="O103" s="100">
        <v>41087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1425062</v>
      </c>
      <c r="E104" s="99">
        <v>2</v>
      </c>
      <c r="F104" s="99"/>
      <c r="G104" s="99">
        <v>40</v>
      </c>
      <c r="H104" s="99">
        <v>18</v>
      </c>
      <c r="I104" s="99" t="s">
        <v>258</v>
      </c>
      <c r="J104" s="99" t="s">
        <v>71</v>
      </c>
      <c r="K104" s="99" t="b">
        <v>0</v>
      </c>
      <c r="L104" s="95">
        <v>2017</v>
      </c>
      <c r="M104" s="96">
        <v>0.2777</v>
      </c>
      <c r="N104" s="100">
        <v>41087</v>
      </c>
      <c r="O104" s="100">
        <v>41087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1425062</v>
      </c>
      <c r="E105" s="99">
        <v>2</v>
      </c>
      <c r="F105" s="99"/>
      <c r="G105" s="99">
        <v>50</v>
      </c>
      <c r="H105" s="99">
        <v>23</v>
      </c>
      <c r="I105" s="99" t="s">
        <v>254</v>
      </c>
      <c r="J105" s="99" t="s">
        <v>151</v>
      </c>
      <c r="K105" s="99" t="b">
        <v>1</v>
      </c>
      <c r="L105" s="95">
        <v>2020</v>
      </c>
      <c r="M105" s="96">
        <v>35241407</v>
      </c>
      <c r="N105" s="100">
        <v>41087</v>
      </c>
      <c r="O105" s="100">
        <v>41087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1425062</v>
      </c>
      <c r="E106" s="99">
        <v>2</v>
      </c>
      <c r="F106" s="99"/>
      <c r="G106" s="99">
        <v>56</v>
      </c>
      <c r="H106" s="99">
        <v>29</v>
      </c>
      <c r="I106" s="99" t="s">
        <v>246</v>
      </c>
      <c r="J106" s="99" t="s">
        <v>154</v>
      </c>
      <c r="K106" s="99" t="b">
        <v>0</v>
      </c>
      <c r="L106" s="95">
        <v>2012</v>
      </c>
      <c r="M106" s="96">
        <v>3659400</v>
      </c>
      <c r="N106" s="100">
        <v>41087</v>
      </c>
      <c r="O106" s="100">
        <v>41087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1425062</v>
      </c>
      <c r="E107" s="99">
        <v>2</v>
      </c>
      <c r="F107" s="99"/>
      <c r="G107" s="99">
        <v>21</v>
      </c>
      <c r="H107" s="99" t="s">
        <v>124</v>
      </c>
      <c r="I107" s="99"/>
      <c r="J107" s="99" t="s">
        <v>125</v>
      </c>
      <c r="K107" s="99" t="b">
        <v>1</v>
      </c>
      <c r="L107" s="95">
        <v>2016</v>
      </c>
      <c r="M107" s="96">
        <v>1500000</v>
      </c>
      <c r="N107" s="100">
        <v>41087</v>
      </c>
      <c r="O107" s="100">
        <v>41087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1425062</v>
      </c>
      <c r="E108" s="99">
        <v>2</v>
      </c>
      <c r="F108" s="99"/>
      <c r="G108" s="99">
        <v>3</v>
      </c>
      <c r="H108" s="99" t="s">
        <v>98</v>
      </c>
      <c r="I108" s="99"/>
      <c r="J108" s="99" t="s">
        <v>99</v>
      </c>
      <c r="K108" s="99" t="b">
        <v>1</v>
      </c>
      <c r="L108" s="95">
        <v>2013</v>
      </c>
      <c r="M108" s="96">
        <v>170050</v>
      </c>
      <c r="N108" s="100">
        <v>41087</v>
      </c>
      <c r="O108" s="100">
        <v>41087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1425062</v>
      </c>
      <c r="E109" s="99">
        <v>2</v>
      </c>
      <c r="F109" s="99"/>
      <c r="G109" s="99">
        <v>27</v>
      </c>
      <c r="H109" s="99">
        <v>10</v>
      </c>
      <c r="I109" s="99"/>
      <c r="J109" s="99" t="s">
        <v>18</v>
      </c>
      <c r="K109" s="99" t="b">
        <v>0</v>
      </c>
      <c r="L109" s="95">
        <v>2021</v>
      </c>
      <c r="M109" s="96">
        <v>896271</v>
      </c>
      <c r="N109" s="100">
        <v>41087</v>
      </c>
      <c r="O109" s="100">
        <v>41087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1425062</v>
      </c>
      <c r="E110" s="99">
        <v>2</v>
      </c>
      <c r="F110" s="99"/>
      <c r="G110" s="99">
        <v>21</v>
      </c>
      <c r="H110" s="99" t="s">
        <v>124</v>
      </c>
      <c r="I110" s="99"/>
      <c r="J110" s="99" t="s">
        <v>125</v>
      </c>
      <c r="K110" s="99" t="b">
        <v>1</v>
      </c>
      <c r="L110" s="95">
        <v>2013</v>
      </c>
      <c r="M110" s="96">
        <v>3670600</v>
      </c>
      <c r="N110" s="100">
        <v>41087</v>
      </c>
      <c r="O110" s="100">
        <v>41087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1425062</v>
      </c>
      <c r="E111" s="99">
        <v>2</v>
      </c>
      <c r="F111" s="99"/>
      <c r="G111" s="99">
        <v>21</v>
      </c>
      <c r="H111" s="99" t="s">
        <v>124</v>
      </c>
      <c r="I111" s="99"/>
      <c r="J111" s="99" t="s">
        <v>125</v>
      </c>
      <c r="K111" s="99" t="b">
        <v>1</v>
      </c>
      <c r="L111" s="95">
        <v>2014</v>
      </c>
      <c r="M111" s="96">
        <v>781000</v>
      </c>
      <c r="N111" s="100">
        <v>41087</v>
      </c>
      <c r="O111" s="100">
        <v>41087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1425062</v>
      </c>
      <c r="E112" s="99">
        <v>2</v>
      </c>
      <c r="F112" s="99"/>
      <c r="G112" s="99">
        <v>31</v>
      </c>
      <c r="H112" s="99" t="s">
        <v>137</v>
      </c>
      <c r="I112" s="99"/>
      <c r="J112" s="99" t="s">
        <v>120</v>
      </c>
      <c r="K112" s="99" t="b">
        <v>1</v>
      </c>
      <c r="L112" s="95">
        <v>2012</v>
      </c>
      <c r="M112" s="96">
        <v>498448</v>
      </c>
      <c r="N112" s="100">
        <v>41087</v>
      </c>
      <c r="O112" s="100">
        <v>41087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1425062</v>
      </c>
      <c r="E113" s="99">
        <v>2</v>
      </c>
      <c r="F113" s="99"/>
      <c r="G113" s="99">
        <v>57</v>
      </c>
      <c r="H113" s="99">
        <v>30</v>
      </c>
      <c r="I113" s="99" t="s">
        <v>251</v>
      </c>
      <c r="J113" s="99" t="s">
        <v>155</v>
      </c>
      <c r="K113" s="99" t="b">
        <v>0</v>
      </c>
      <c r="L113" s="95">
        <v>2013</v>
      </c>
      <c r="M113" s="96">
        <v>3670600</v>
      </c>
      <c r="N113" s="100">
        <v>41087</v>
      </c>
      <c r="O113" s="100">
        <v>41087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1425062</v>
      </c>
      <c r="E114" s="99">
        <v>2</v>
      </c>
      <c r="F114" s="99"/>
      <c r="G114" s="99">
        <v>4</v>
      </c>
      <c r="H114" s="99" t="s">
        <v>100</v>
      </c>
      <c r="I114" s="99"/>
      <c r="J114" s="99" t="s">
        <v>101</v>
      </c>
      <c r="K114" s="99" t="b">
        <v>1</v>
      </c>
      <c r="L114" s="95">
        <v>2015</v>
      </c>
      <c r="M114" s="96">
        <v>1515000</v>
      </c>
      <c r="N114" s="100">
        <v>41087</v>
      </c>
      <c r="O114" s="100">
        <v>41087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1425062</v>
      </c>
      <c r="E115" s="99">
        <v>2</v>
      </c>
      <c r="F115" s="99"/>
      <c r="G115" s="99">
        <v>42</v>
      </c>
      <c r="H115" s="99">
        <v>19</v>
      </c>
      <c r="I115" s="99" t="s">
        <v>249</v>
      </c>
      <c r="J115" s="99" t="s">
        <v>74</v>
      </c>
      <c r="K115" s="99" t="b">
        <v>1</v>
      </c>
      <c r="L115" s="95">
        <v>2015</v>
      </c>
      <c r="M115" s="96">
        <v>0.0593</v>
      </c>
      <c r="N115" s="100">
        <v>41087</v>
      </c>
      <c r="O115" s="100">
        <v>41087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1425062</v>
      </c>
      <c r="E116" s="99">
        <v>2</v>
      </c>
      <c r="F116" s="99"/>
      <c r="G116" s="99">
        <v>23</v>
      </c>
      <c r="H116" s="99" t="s">
        <v>128</v>
      </c>
      <c r="I116" s="99"/>
      <c r="J116" s="99" t="s">
        <v>129</v>
      </c>
      <c r="K116" s="99" t="b">
        <v>1</v>
      </c>
      <c r="L116" s="95">
        <v>2018</v>
      </c>
      <c r="M116" s="96">
        <v>250000</v>
      </c>
      <c r="N116" s="100">
        <v>41087</v>
      </c>
      <c r="O116" s="100">
        <v>41087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1425062</v>
      </c>
      <c r="E117" s="99">
        <v>2</v>
      </c>
      <c r="F117" s="99"/>
      <c r="G117" s="99">
        <v>55</v>
      </c>
      <c r="H117" s="99">
        <v>28</v>
      </c>
      <c r="I117" s="99" t="s">
        <v>243</v>
      </c>
      <c r="J117" s="99" t="s">
        <v>48</v>
      </c>
      <c r="K117" s="99" t="b">
        <v>0</v>
      </c>
      <c r="L117" s="95">
        <v>2017</v>
      </c>
      <c r="M117" s="96">
        <v>1694000</v>
      </c>
      <c r="N117" s="100">
        <v>41087</v>
      </c>
      <c r="O117" s="100">
        <v>41087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1425062</v>
      </c>
      <c r="E118" s="99">
        <v>2</v>
      </c>
      <c r="F118" s="99"/>
      <c r="G118" s="99">
        <v>40</v>
      </c>
      <c r="H118" s="99">
        <v>18</v>
      </c>
      <c r="I118" s="99" t="s">
        <v>258</v>
      </c>
      <c r="J118" s="99" t="s">
        <v>71</v>
      </c>
      <c r="K118" s="99" t="b">
        <v>0</v>
      </c>
      <c r="L118" s="95">
        <v>2012</v>
      </c>
      <c r="M118" s="96">
        <v>0.3999</v>
      </c>
      <c r="N118" s="100">
        <v>41087</v>
      </c>
      <c r="O118" s="100">
        <v>41087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1425062</v>
      </c>
      <c r="E119" s="99">
        <v>2</v>
      </c>
      <c r="F119" s="99"/>
      <c r="G119" s="99">
        <v>54</v>
      </c>
      <c r="H119" s="99">
        <v>27</v>
      </c>
      <c r="I119" s="99" t="s">
        <v>250</v>
      </c>
      <c r="J119" s="99" t="s">
        <v>46</v>
      </c>
      <c r="K119" s="99" t="b">
        <v>0</v>
      </c>
      <c r="L119" s="95">
        <v>2021</v>
      </c>
      <c r="M119" s="96">
        <v>34453073</v>
      </c>
      <c r="N119" s="100">
        <v>41087</v>
      </c>
      <c r="O119" s="100">
        <v>41087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1425062</v>
      </c>
      <c r="E120" s="99">
        <v>2</v>
      </c>
      <c r="F120" s="99"/>
      <c r="G120" s="99">
        <v>40</v>
      </c>
      <c r="H120" s="99">
        <v>18</v>
      </c>
      <c r="I120" s="99" t="s">
        <v>258</v>
      </c>
      <c r="J120" s="99" t="s">
        <v>71</v>
      </c>
      <c r="K120" s="99" t="b">
        <v>0</v>
      </c>
      <c r="L120" s="95">
        <v>2016</v>
      </c>
      <c r="M120" s="96">
        <v>0.3231</v>
      </c>
      <c r="N120" s="100">
        <v>41087</v>
      </c>
      <c r="O120" s="100">
        <v>41087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1425062</v>
      </c>
      <c r="E121" s="99">
        <v>2</v>
      </c>
      <c r="F121" s="99"/>
      <c r="G121" s="99">
        <v>20</v>
      </c>
      <c r="H121" s="99">
        <v>7</v>
      </c>
      <c r="I121" s="99" t="s">
        <v>255</v>
      </c>
      <c r="J121" s="99" t="s">
        <v>12</v>
      </c>
      <c r="K121" s="99" t="b">
        <v>1</v>
      </c>
      <c r="L121" s="95">
        <v>2015</v>
      </c>
      <c r="M121" s="96">
        <v>1936900</v>
      </c>
      <c r="N121" s="100">
        <v>41087</v>
      </c>
      <c r="O121" s="100">
        <v>41087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1425062</v>
      </c>
      <c r="E122" s="99">
        <v>2</v>
      </c>
      <c r="F122" s="99"/>
      <c r="G122" s="99">
        <v>19</v>
      </c>
      <c r="H122" s="99">
        <v>6</v>
      </c>
      <c r="I122" s="99" t="s">
        <v>244</v>
      </c>
      <c r="J122" s="99" t="s">
        <v>123</v>
      </c>
      <c r="K122" s="99" t="b">
        <v>0</v>
      </c>
      <c r="L122" s="95">
        <v>2018</v>
      </c>
      <c r="M122" s="96">
        <v>2906476</v>
      </c>
      <c r="N122" s="100">
        <v>41087</v>
      </c>
      <c r="O122" s="100">
        <v>41087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1425062</v>
      </c>
      <c r="E123" s="99">
        <v>2</v>
      </c>
      <c r="F123" s="99"/>
      <c r="G123" s="99">
        <v>20</v>
      </c>
      <c r="H123" s="99">
        <v>7</v>
      </c>
      <c r="I123" s="99" t="s">
        <v>255</v>
      </c>
      <c r="J123" s="99" t="s">
        <v>12</v>
      </c>
      <c r="K123" s="99" t="b">
        <v>1</v>
      </c>
      <c r="L123" s="95">
        <v>2014</v>
      </c>
      <c r="M123" s="96">
        <v>1391000</v>
      </c>
      <c r="N123" s="100">
        <v>41087</v>
      </c>
      <c r="O123" s="100">
        <v>41087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1425062</v>
      </c>
      <c r="E124" s="99">
        <v>2</v>
      </c>
      <c r="F124" s="99"/>
      <c r="G124" s="99">
        <v>27</v>
      </c>
      <c r="H124" s="99">
        <v>10</v>
      </c>
      <c r="I124" s="99"/>
      <c r="J124" s="99" t="s">
        <v>18</v>
      </c>
      <c r="K124" s="99" t="b">
        <v>0</v>
      </c>
      <c r="L124" s="95">
        <v>2013</v>
      </c>
      <c r="M124" s="96">
        <v>3068000</v>
      </c>
      <c r="N124" s="100">
        <v>41087</v>
      </c>
      <c r="O124" s="100">
        <v>41087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1425062</v>
      </c>
      <c r="E125" s="99">
        <v>2</v>
      </c>
      <c r="F125" s="99"/>
      <c r="G125" s="99">
        <v>48</v>
      </c>
      <c r="H125" s="99">
        <v>22</v>
      </c>
      <c r="I125" s="99" t="s">
        <v>238</v>
      </c>
      <c r="J125" s="99" t="s">
        <v>79</v>
      </c>
      <c r="K125" s="99" t="b">
        <v>0</v>
      </c>
      <c r="L125" s="95">
        <v>2012</v>
      </c>
      <c r="M125" s="96">
        <v>0.1183</v>
      </c>
      <c r="N125" s="100">
        <v>41087</v>
      </c>
      <c r="O125" s="100">
        <v>41087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1425062</v>
      </c>
      <c r="E126" s="99">
        <v>2</v>
      </c>
      <c r="F126" s="99"/>
      <c r="G126" s="99">
        <v>26</v>
      </c>
      <c r="H126" s="99">
        <v>9</v>
      </c>
      <c r="I126" s="99" t="s">
        <v>239</v>
      </c>
      <c r="J126" s="99" t="s">
        <v>133</v>
      </c>
      <c r="K126" s="99" t="b">
        <v>0</v>
      </c>
      <c r="L126" s="95">
        <v>2022</v>
      </c>
      <c r="M126" s="96">
        <v>2107995</v>
      </c>
      <c r="N126" s="100">
        <v>41087</v>
      </c>
      <c r="O126" s="100">
        <v>41087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1425062</v>
      </c>
      <c r="E127" s="99">
        <v>2</v>
      </c>
      <c r="F127" s="99"/>
      <c r="G127" s="99">
        <v>3</v>
      </c>
      <c r="H127" s="99" t="s">
        <v>98</v>
      </c>
      <c r="I127" s="99"/>
      <c r="J127" s="99" t="s">
        <v>99</v>
      </c>
      <c r="K127" s="99" t="b">
        <v>1</v>
      </c>
      <c r="L127" s="95">
        <v>2014</v>
      </c>
      <c r="M127" s="96">
        <v>179000</v>
      </c>
      <c r="N127" s="100">
        <v>41087</v>
      </c>
      <c r="O127" s="100">
        <v>41087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1425062</v>
      </c>
      <c r="E128" s="99">
        <v>2</v>
      </c>
      <c r="F128" s="99"/>
      <c r="G128" s="99">
        <v>40</v>
      </c>
      <c r="H128" s="99">
        <v>18</v>
      </c>
      <c r="I128" s="99" t="s">
        <v>258</v>
      </c>
      <c r="J128" s="99" t="s">
        <v>71</v>
      </c>
      <c r="K128" s="99" t="b">
        <v>0</v>
      </c>
      <c r="L128" s="95">
        <v>2015</v>
      </c>
      <c r="M128" s="96">
        <v>0.3473</v>
      </c>
      <c r="N128" s="100">
        <v>41087</v>
      </c>
      <c r="O128" s="100">
        <v>41087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1425062</v>
      </c>
      <c r="E129" s="99">
        <v>2</v>
      </c>
      <c r="F129" s="99"/>
      <c r="G129" s="99">
        <v>2</v>
      </c>
      <c r="H129" s="99" t="s">
        <v>96</v>
      </c>
      <c r="I129" s="99"/>
      <c r="J129" s="99" t="s">
        <v>97</v>
      </c>
      <c r="K129" s="99" t="b">
        <v>1</v>
      </c>
      <c r="L129" s="95">
        <v>2018</v>
      </c>
      <c r="M129" s="96">
        <v>33878223</v>
      </c>
      <c r="N129" s="100">
        <v>41087</v>
      </c>
      <c r="O129" s="100">
        <v>41087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1425062</v>
      </c>
      <c r="E130" s="99">
        <v>2</v>
      </c>
      <c r="F130" s="99"/>
      <c r="G130" s="99">
        <v>19</v>
      </c>
      <c r="H130" s="99">
        <v>6</v>
      </c>
      <c r="I130" s="99" t="s">
        <v>244</v>
      </c>
      <c r="J130" s="99" t="s">
        <v>123</v>
      </c>
      <c r="K130" s="99" t="b">
        <v>0</v>
      </c>
      <c r="L130" s="95">
        <v>2013</v>
      </c>
      <c r="M130" s="96">
        <v>4418600</v>
      </c>
      <c r="N130" s="100">
        <v>41087</v>
      </c>
      <c r="O130" s="100">
        <v>41087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1425062</v>
      </c>
      <c r="E131" s="99">
        <v>2</v>
      </c>
      <c r="F131" s="99"/>
      <c r="G131" s="99">
        <v>55</v>
      </c>
      <c r="H131" s="99">
        <v>28</v>
      </c>
      <c r="I131" s="99" t="s">
        <v>243</v>
      </c>
      <c r="J131" s="99" t="s">
        <v>48</v>
      </c>
      <c r="K131" s="99" t="b">
        <v>0</v>
      </c>
      <c r="L131" s="95">
        <v>2022</v>
      </c>
      <c r="M131" s="96">
        <v>1693635</v>
      </c>
      <c r="N131" s="100">
        <v>41087</v>
      </c>
      <c r="O131" s="100">
        <v>41087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1425062</v>
      </c>
      <c r="E132" s="99">
        <v>2</v>
      </c>
      <c r="F132" s="99"/>
      <c r="G132" s="99">
        <v>53</v>
      </c>
      <c r="H132" s="99">
        <v>26</v>
      </c>
      <c r="I132" s="99" t="s">
        <v>242</v>
      </c>
      <c r="J132" s="99" t="s">
        <v>153</v>
      </c>
      <c r="K132" s="99" t="b">
        <v>1</v>
      </c>
      <c r="L132" s="95">
        <v>2015</v>
      </c>
      <c r="M132" s="96">
        <v>32515274</v>
      </c>
      <c r="N132" s="100">
        <v>41087</v>
      </c>
      <c r="O132" s="100">
        <v>41087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1425062</v>
      </c>
      <c r="E133" s="99">
        <v>2</v>
      </c>
      <c r="F133" s="99"/>
      <c r="G133" s="99">
        <v>29</v>
      </c>
      <c r="H133" s="99" t="s">
        <v>136</v>
      </c>
      <c r="I133" s="99"/>
      <c r="J133" s="99" t="s">
        <v>117</v>
      </c>
      <c r="K133" s="99" t="b">
        <v>0</v>
      </c>
      <c r="L133" s="95">
        <v>2015</v>
      </c>
      <c r="M133" s="96">
        <v>2900000</v>
      </c>
      <c r="N133" s="100">
        <v>41087</v>
      </c>
      <c r="O133" s="100">
        <v>41087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1425062</v>
      </c>
      <c r="E134" s="99">
        <v>2</v>
      </c>
      <c r="F134" s="99"/>
      <c r="G134" s="99">
        <v>44</v>
      </c>
      <c r="H134" s="99">
        <v>20</v>
      </c>
      <c r="I134" s="99" t="s">
        <v>241</v>
      </c>
      <c r="J134" s="99" t="s">
        <v>147</v>
      </c>
      <c r="K134" s="99" t="b">
        <v>1</v>
      </c>
      <c r="L134" s="95">
        <v>2022</v>
      </c>
      <c r="M134" s="96">
        <v>0.0997</v>
      </c>
      <c r="N134" s="100">
        <v>41087</v>
      </c>
      <c r="O134" s="100">
        <v>41087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1425062</v>
      </c>
      <c r="E135" s="99">
        <v>2</v>
      </c>
      <c r="F135" s="99"/>
      <c r="G135" s="99">
        <v>24</v>
      </c>
      <c r="H135" s="99" t="s">
        <v>130</v>
      </c>
      <c r="I135" s="99"/>
      <c r="J135" s="99" t="s">
        <v>131</v>
      </c>
      <c r="K135" s="99" t="b">
        <v>1</v>
      </c>
      <c r="L135" s="95">
        <v>2020</v>
      </c>
      <c r="M135" s="96">
        <v>216400</v>
      </c>
      <c r="N135" s="100">
        <v>41087</v>
      </c>
      <c r="O135" s="100">
        <v>41087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1425062</v>
      </c>
      <c r="E136" s="99">
        <v>2</v>
      </c>
      <c r="F136" s="99"/>
      <c r="G136" s="99">
        <v>43</v>
      </c>
      <c r="H136" s="99" t="s">
        <v>146</v>
      </c>
      <c r="I136" s="99" t="s">
        <v>252</v>
      </c>
      <c r="J136" s="99" t="s">
        <v>76</v>
      </c>
      <c r="K136" s="99" t="b">
        <v>0</v>
      </c>
      <c r="L136" s="95">
        <v>2016</v>
      </c>
      <c r="M136" s="96">
        <v>0.0592</v>
      </c>
      <c r="N136" s="100">
        <v>41087</v>
      </c>
      <c r="O136" s="100">
        <v>41087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1425062</v>
      </c>
      <c r="E137" s="99">
        <v>2</v>
      </c>
      <c r="F137" s="99"/>
      <c r="G137" s="99">
        <v>51</v>
      </c>
      <c r="H137" s="99">
        <v>24</v>
      </c>
      <c r="I137" s="99" t="s">
        <v>260</v>
      </c>
      <c r="J137" s="99" t="s">
        <v>152</v>
      </c>
      <c r="K137" s="99" t="b">
        <v>1</v>
      </c>
      <c r="L137" s="95">
        <v>2016</v>
      </c>
      <c r="M137" s="96">
        <v>29788344</v>
      </c>
      <c r="N137" s="100">
        <v>41087</v>
      </c>
      <c r="O137" s="100">
        <v>41087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1425062</v>
      </c>
      <c r="E138" s="99">
        <v>2</v>
      </c>
      <c r="F138" s="99"/>
      <c r="G138" s="99">
        <v>48</v>
      </c>
      <c r="H138" s="99">
        <v>22</v>
      </c>
      <c r="I138" s="99" t="s">
        <v>238</v>
      </c>
      <c r="J138" s="99" t="s">
        <v>79</v>
      </c>
      <c r="K138" s="99" t="b">
        <v>0</v>
      </c>
      <c r="L138" s="95">
        <v>2014</v>
      </c>
      <c r="M138" s="96">
        <v>0.0434</v>
      </c>
      <c r="N138" s="100">
        <v>41087</v>
      </c>
      <c r="O138" s="100">
        <v>41087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1425062</v>
      </c>
      <c r="E139" s="99">
        <v>2</v>
      </c>
      <c r="F139" s="99"/>
      <c r="G139" s="99">
        <v>6</v>
      </c>
      <c r="H139" s="99" t="s">
        <v>104</v>
      </c>
      <c r="I139" s="99"/>
      <c r="J139" s="99" t="s">
        <v>105</v>
      </c>
      <c r="K139" s="99" t="b">
        <v>1</v>
      </c>
      <c r="L139" s="95">
        <v>2016</v>
      </c>
      <c r="M139" s="96">
        <v>1615313</v>
      </c>
      <c r="N139" s="100">
        <v>41087</v>
      </c>
      <c r="O139" s="100">
        <v>41087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1425062</v>
      </c>
      <c r="E140" s="99">
        <v>2</v>
      </c>
      <c r="F140" s="99"/>
      <c r="G140" s="99">
        <v>48</v>
      </c>
      <c r="H140" s="99">
        <v>22</v>
      </c>
      <c r="I140" s="99" t="s">
        <v>238</v>
      </c>
      <c r="J140" s="99" t="s">
        <v>79</v>
      </c>
      <c r="K140" s="99" t="b">
        <v>0</v>
      </c>
      <c r="L140" s="95">
        <v>2021</v>
      </c>
      <c r="M140" s="96">
        <v>0.0728</v>
      </c>
      <c r="N140" s="100">
        <v>41087</v>
      </c>
      <c r="O140" s="100">
        <v>41087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1425062</v>
      </c>
      <c r="E141" s="99">
        <v>2</v>
      </c>
      <c r="F141" s="99"/>
      <c r="G141" s="99">
        <v>47</v>
      </c>
      <c r="H141" s="99" t="s">
        <v>149</v>
      </c>
      <c r="I141" s="99" t="s">
        <v>257</v>
      </c>
      <c r="J141" s="99" t="s">
        <v>78</v>
      </c>
      <c r="K141" s="99" t="b">
        <v>0</v>
      </c>
      <c r="L141" s="95">
        <v>2020</v>
      </c>
      <c r="M141" s="96">
        <v>637</v>
      </c>
      <c r="N141" s="100">
        <v>41087</v>
      </c>
      <c r="O141" s="100">
        <v>41087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1425062</v>
      </c>
      <c r="E142" s="99">
        <v>2</v>
      </c>
      <c r="F142" s="99"/>
      <c r="G142" s="99">
        <v>27</v>
      </c>
      <c r="H142" s="99">
        <v>10</v>
      </c>
      <c r="I142" s="99"/>
      <c r="J142" s="99" t="s">
        <v>18</v>
      </c>
      <c r="K142" s="99" t="b">
        <v>0</v>
      </c>
      <c r="L142" s="95">
        <v>2015</v>
      </c>
      <c r="M142" s="96">
        <v>3068000</v>
      </c>
      <c r="N142" s="100">
        <v>41087</v>
      </c>
      <c r="O142" s="100">
        <v>41087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1425062</v>
      </c>
      <c r="E143" s="99">
        <v>2</v>
      </c>
      <c r="F143" s="99"/>
      <c r="G143" s="99">
        <v>23</v>
      </c>
      <c r="H143" s="99" t="s">
        <v>128</v>
      </c>
      <c r="I143" s="99"/>
      <c r="J143" s="99" t="s">
        <v>129</v>
      </c>
      <c r="K143" s="99" t="b">
        <v>1</v>
      </c>
      <c r="L143" s="95">
        <v>2021</v>
      </c>
      <c r="M143" s="96">
        <v>130000</v>
      </c>
      <c r="N143" s="100">
        <v>41087</v>
      </c>
      <c r="O143" s="100">
        <v>41087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1425062</v>
      </c>
      <c r="E144" s="99">
        <v>2</v>
      </c>
      <c r="F144" s="99"/>
      <c r="G144" s="99">
        <v>23</v>
      </c>
      <c r="H144" s="99" t="s">
        <v>128</v>
      </c>
      <c r="I144" s="99"/>
      <c r="J144" s="99" t="s">
        <v>129</v>
      </c>
      <c r="K144" s="99" t="b">
        <v>1</v>
      </c>
      <c r="L144" s="95">
        <v>2022</v>
      </c>
      <c r="M144" s="96">
        <v>120000</v>
      </c>
      <c r="N144" s="100">
        <v>41087</v>
      </c>
      <c r="O144" s="100">
        <v>41087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1425062</v>
      </c>
      <c r="E145" s="99">
        <v>2</v>
      </c>
      <c r="F145" s="99"/>
      <c r="G145" s="99">
        <v>43</v>
      </c>
      <c r="H145" s="99" t="s">
        <v>146</v>
      </c>
      <c r="I145" s="99" t="s">
        <v>252</v>
      </c>
      <c r="J145" s="99" t="s">
        <v>76</v>
      </c>
      <c r="K145" s="99" t="b">
        <v>0</v>
      </c>
      <c r="L145" s="95">
        <v>2018</v>
      </c>
      <c r="M145" s="96">
        <v>0.0649</v>
      </c>
      <c r="N145" s="100">
        <v>41087</v>
      </c>
      <c r="O145" s="100">
        <v>41087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1425062</v>
      </c>
      <c r="E146" s="99">
        <v>2</v>
      </c>
      <c r="F146" s="99"/>
      <c r="G146" s="99">
        <v>24</v>
      </c>
      <c r="H146" s="99" t="s">
        <v>130</v>
      </c>
      <c r="I146" s="99"/>
      <c r="J146" s="99" t="s">
        <v>131</v>
      </c>
      <c r="K146" s="99" t="b">
        <v>1</v>
      </c>
      <c r="L146" s="95">
        <v>2016</v>
      </c>
      <c r="M146" s="96">
        <v>490000</v>
      </c>
      <c r="N146" s="100">
        <v>41087</v>
      </c>
      <c r="O146" s="100">
        <v>41087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1425062</v>
      </c>
      <c r="E147" s="99">
        <v>2</v>
      </c>
      <c r="F147" s="99"/>
      <c r="G147" s="99">
        <v>46</v>
      </c>
      <c r="H147" s="99">
        <v>21</v>
      </c>
      <c r="I147" s="99" t="s">
        <v>259</v>
      </c>
      <c r="J147" s="99" t="s">
        <v>54</v>
      </c>
      <c r="K147" s="99" t="b">
        <v>1</v>
      </c>
      <c r="L147" s="95">
        <v>2020</v>
      </c>
      <c r="M147" s="96">
        <v>0.0203</v>
      </c>
      <c r="N147" s="100">
        <v>41087</v>
      </c>
      <c r="O147" s="100">
        <v>41087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1425062</v>
      </c>
      <c r="E148" s="99">
        <v>2</v>
      </c>
      <c r="F148" s="99"/>
      <c r="G148" s="99">
        <v>14</v>
      </c>
      <c r="H148" s="99">
        <v>3</v>
      </c>
      <c r="I148" s="99" t="s">
        <v>247</v>
      </c>
      <c r="J148" s="99" t="s">
        <v>118</v>
      </c>
      <c r="K148" s="99" t="b">
        <v>1</v>
      </c>
      <c r="L148" s="95">
        <v>2017</v>
      </c>
      <c r="M148" s="96">
        <v>2975238</v>
      </c>
      <c r="N148" s="100">
        <v>41087</v>
      </c>
      <c r="O148" s="100">
        <v>41087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1425062</v>
      </c>
      <c r="E149" s="99">
        <v>2</v>
      </c>
      <c r="F149" s="99"/>
      <c r="G149" s="99">
        <v>47</v>
      </c>
      <c r="H149" s="99" t="s">
        <v>149</v>
      </c>
      <c r="I149" s="99" t="s">
        <v>257</v>
      </c>
      <c r="J149" s="99" t="s">
        <v>78</v>
      </c>
      <c r="K149" s="99" t="b">
        <v>0</v>
      </c>
      <c r="L149" s="95">
        <v>2019</v>
      </c>
      <c r="M149" s="96">
        <v>10</v>
      </c>
      <c r="N149" s="100">
        <v>41087</v>
      </c>
      <c r="O149" s="100">
        <v>41087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1425062</v>
      </c>
      <c r="E150" s="99">
        <v>2</v>
      </c>
      <c r="F150" s="99"/>
      <c r="G150" s="99">
        <v>9</v>
      </c>
      <c r="H150" s="99" t="s">
        <v>108</v>
      </c>
      <c r="I150" s="99"/>
      <c r="J150" s="99" t="s">
        <v>109</v>
      </c>
      <c r="K150" s="99" t="b">
        <v>0</v>
      </c>
      <c r="L150" s="95">
        <v>2022</v>
      </c>
      <c r="M150" s="96">
        <v>3776147</v>
      </c>
      <c r="N150" s="100">
        <v>41087</v>
      </c>
      <c r="O150" s="100">
        <v>41087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1425062</v>
      </c>
      <c r="E151" s="99">
        <v>2</v>
      </c>
      <c r="F151" s="99"/>
      <c r="G151" s="99">
        <v>42</v>
      </c>
      <c r="H151" s="99">
        <v>19</v>
      </c>
      <c r="I151" s="99" t="s">
        <v>249</v>
      </c>
      <c r="J151" s="99" t="s">
        <v>74</v>
      </c>
      <c r="K151" s="99" t="b">
        <v>1</v>
      </c>
      <c r="L151" s="95">
        <v>2017</v>
      </c>
      <c r="M151" s="96">
        <v>0.062</v>
      </c>
      <c r="N151" s="100">
        <v>41087</v>
      </c>
      <c r="O151" s="100">
        <v>41087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1425062</v>
      </c>
      <c r="E152" s="99">
        <v>2</v>
      </c>
      <c r="F152" s="99"/>
      <c r="G152" s="99">
        <v>12</v>
      </c>
      <c r="H152" s="99" t="s">
        <v>114</v>
      </c>
      <c r="I152" s="99"/>
      <c r="J152" s="99" t="s">
        <v>115</v>
      </c>
      <c r="K152" s="99" t="b">
        <v>0</v>
      </c>
      <c r="L152" s="95">
        <v>2014</v>
      </c>
      <c r="M152" s="96">
        <v>200000</v>
      </c>
      <c r="N152" s="100">
        <v>41087</v>
      </c>
      <c r="O152" s="100">
        <v>41087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1425062</v>
      </c>
      <c r="E153" s="99">
        <v>2</v>
      </c>
      <c r="F153" s="99"/>
      <c r="G153" s="99">
        <v>52</v>
      </c>
      <c r="H153" s="99">
        <v>25</v>
      </c>
      <c r="I153" s="99" t="s">
        <v>240</v>
      </c>
      <c r="J153" s="99" t="s">
        <v>49</v>
      </c>
      <c r="K153" s="99" t="b">
        <v>1</v>
      </c>
      <c r="L153" s="95">
        <v>2015</v>
      </c>
      <c r="M153" s="96">
        <v>1964266</v>
      </c>
      <c r="N153" s="100">
        <v>41087</v>
      </c>
      <c r="O153" s="100">
        <v>41087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1425062</v>
      </c>
      <c r="E154" s="99">
        <v>2</v>
      </c>
      <c r="F154" s="99"/>
      <c r="G154" s="99">
        <v>48</v>
      </c>
      <c r="H154" s="99">
        <v>22</v>
      </c>
      <c r="I154" s="99" t="s">
        <v>238</v>
      </c>
      <c r="J154" s="99" t="s">
        <v>79</v>
      </c>
      <c r="K154" s="99" t="b">
        <v>0</v>
      </c>
      <c r="L154" s="95">
        <v>2015</v>
      </c>
      <c r="M154" s="96">
        <v>0.0593</v>
      </c>
      <c r="N154" s="100">
        <v>41087</v>
      </c>
      <c r="O154" s="100">
        <v>41087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1425062</v>
      </c>
      <c r="E155" s="99">
        <v>2</v>
      </c>
      <c r="F155" s="99"/>
      <c r="G155" s="99">
        <v>54</v>
      </c>
      <c r="H155" s="99">
        <v>27</v>
      </c>
      <c r="I155" s="99" t="s">
        <v>250</v>
      </c>
      <c r="J155" s="99" t="s">
        <v>46</v>
      </c>
      <c r="K155" s="99" t="b">
        <v>0</v>
      </c>
      <c r="L155" s="95">
        <v>2017</v>
      </c>
      <c r="M155" s="96">
        <v>31297479</v>
      </c>
      <c r="N155" s="100">
        <v>41087</v>
      </c>
      <c r="O155" s="100">
        <v>41087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1425062</v>
      </c>
      <c r="E156" s="99">
        <v>2</v>
      </c>
      <c r="F156" s="99"/>
      <c r="G156" s="99">
        <v>37</v>
      </c>
      <c r="H156" s="99">
        <v>16</v>
      </c>
      <c r="I156" s="99"/>
      <c r="J156" s="99" t="s">
        <v>142</v>
      </c>
      <c r="K156" s="99" t="b">
        <v>1</v>
      </c>
      <c r="L156" s="95">
        <v>2016</v>
      </c>
      <c r="M156" s="96">
        <v>438297</v>
      </c>
      <c r="N156" s="100">
        <v>41087</v>
      </c>
      <c r="O156" s="100">
        <v>41087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1425062</v>
      </c>
      <c r="E157" s="99">
        <v>2</v>
      </c>
      <c r="F157" s="99"/>
      <c r="G157" s="99">
        <v>9</v>
      </c>
      <c r="H157" s="99" t="s">
        <v>108</v>
      </c>
      <c r="I157" s="99"/>
      <c r="J157" s="99" t="s">
        <v>109</v>
      </c>
      <c r="K157" s="99" t="b">
        <v>0</v>
      </c>
      <c r="L157" s="95">
        <v>2020</v>
      </c>
      <c r="M157" s="96">
        <v>3608258</v>
      </c>
      <c r="N157" s="100">
        <v>41087</v>
      </c>
      <c r="O157" s="100">
        <v>41087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1425062</v>
      </c>
      <c r="E158" s="99">
        <v>2</v>
      </c>
      <c r="F158" s="99"/>
      <c r="G158" s="99">
        <v>8</v>
      </c>
      <c r="H158" s="99" t="s">
        <v>106</v>
      </c>
      <c r="I158" s="99"/>
      <c r="J158" s="99" t="s">
        <v>107</v>
      </c>
      <c r="K158" s="99" t="b">
        <v>0</v>
      </c>
      <c r="L158" s="95">
        <v>2014</v>
      </c>
      <c r="M158" s="96">
        <v>15541758</v>
      </c>
      <c r="N158" s="100">
        <v>41087</v>
      </c>
      <c r="O158" s="100">
        <v>41087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1425062</v>
      </c>
      <c r="E159" s="99">
        <v>2</v>
      </c>
      <c r="F159" s="99"/>
      <c r="G159" s="99">
        <v>51</v>
      </c>
      <c r="H159" s="99">
        <v>24</v>
      </c>
      <c r="I159" s="99" t="s">
        <v>260</v>
      </c>
      <c r="J159" s="99" t="s">
        <v>152</v>
      </c>
      <c r="K159" s="99" t="b">
        <v>1</v>
      </c>
      <c r="L159" s="95">
        <v>2012</v>
      </c>
      <c r="M159" s="96">
        <v>26636608.29</v>
      </c>
      <c r="N159" s="100">
        <v>41087</v>
      </c>
      <c r="O159" s="100">
        <v>41087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1425062</v>
      </c>
      <c r="E160" s="99">
        <v>2</v>
      </c>
      <c r="F160" s="99"/>
      <c r="G160" s="99">
        <v>50</v>
      </c>
      <c r="H160" s="99">
        <v>23</v>
      </c>
      <c r="I160" s="99" t="s">
        <v>254</v>
      </c>
      <c r="J160" s="99" t="s">
        <v>151</v>
      </c>
      <c r="K160" s="99" t="b">
        <v>1</v>
      </c>
      <c r="L160" s="95">
        <v>2019</v>
      </c>
      <c r="M160" s="96">
        <v>34994570</v>
      </c>
      <c r="N160" s="100">
        <v>41087</v>
      </c>
      <c r="O160" s="100">
        <v>41087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1425062</v>
      </c>
      <c r="E161" s="99">
        <v>2</v>
      </c>
      <c r="F161" s="99"/>
      <c r="G161" s="99">
        <v>48</v>
      </c>
      <c r="H161" s="99">
        <v>22</v>
      </c>
      <c r="I161" s="99" t="s">
        <v>238</v>
      </c>
      <c r="J161" s="99" t="s">
        <v>79</v>
      </c>
      <c r="K161" s="99" t="b">
        <v>0</v>
      </c>
      <c r="L161" s="95">
        <v>2020</v>
      </c>
      <c r="M161" s="96">
        <v>0.0203</v>
      </c>
      <c r="N161" s="100">
        <v>41087</v>
      </c>
      <c r="O161" s="100">
        <v>41087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1425062</v>
      </c>
      <c r="E162" s="99">
        <v>2</v>
      </c>
      <c r="F162" s="99"/>
      <c r="G162" s="99">
        <v>53</v>
      </c>
      <c r="H162" s="99">
        <v>26</v>
      </c>
      <c r="I162" s="99" t="s">
        <v>242</v>
      </c>
      <c r="J162" s="99" t="s">
        <v>153</v>
      </c>
      <c r="K162" s="99" t="b">
        <v>1</v>
      </c>
      <c r="L162" s="95">
        <v>2020</v>
      </c>
      <c r="M162" s="96">
        <v>35241407</v>
      </c>
      <c r="N162" s="100">
        <v>41087</v>
      </c>
      <c r="O162" s="100">
        <v>41087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1425062</v>
      </c>
      <c r="E163" s="99">
        <v>2</v>
      </c>
      <c r="F163" s="99"/>
      <c r="G163" s="99">
        <v>55</v>
      </c>
      <c r="H163" s="99">
        <v>28</v>
      </c>
      <c r="I163" s="99" t="s">
        <v>243</v>
      </c>
      <c r="J163" s="99" t="s">
        <v>48</v>
      </c>
      <c r="K163" s="99" t="b">
        <v>0</v>
      </c>
      <c r="L163" s="95">
        <v>2020</v>
      </c>
      <c r="M163" s="96">
        <v>500000</v>
      </c>
      <c r="N163" s="100">
        <v>41087</v>
      </c>
      <c r="O163" s="100">
        <v>41087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1425062</v>
      </c>
      <c r="E164" s="99">
        <v>2</v>
      </c>
      <c r="F164" s="99"/>
      <c r="G164" s="99">
        <v>9</v>
      </c>
      <c r="H164" s="99" t="s">
        <v>108</v>
      </c>
      <c r="I164" s="99"/>
      <c r="J164" s="99" t="s">
        <v>109</v>
      </c>
      <c r="K164" s="99" t="b">
        <v>0</v>
      </c>
      <c r="L164" s="95">
        <v>2014</v>
      </c>
      <c r="M164" s="96">
        <v>3102301</v>
      </c>
      <c r="N164" s="100">
        <v>41087</v>
      </c>
      <c r="O164" s="100">
        <v>41087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1425062</v>
      </c>
      <c r="E165" s="99">
        <v>2</v>
      </c>
      <c r="F165" s="99"/>
      <c r="G165" s="99">
        <v>19</v>
      </c>
      <c r="H165" s="99">
        <v>6</v>
      </c>
      <c r="I165" s="99" t="s">
        <v>244</v>
      </c>
      <c r="J165" s="99" t="s">
        <v>123</v>
      </c>
      <c r="K165" s="99" t="b">
        <v>0</v>
      </c>
      <c r="L165" s="95">
        <v>2021</v>
      </c>
      <c r="M165" s="96">
        <v>3592847</v>
      </c>
      <c r="N165" s="100">
        <v>41087</v>
      </c>
      <c r="O165" s="100">
        <v>41087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1425062</v>
      </c>
      <c r="E166" s="99">
        <v>2</v>
      </c>
      <c r="F166" s="99"/>
      <c r="G166" s="99">
        <v>44</v>
      </c>
      <c r="H166" s="99">
        <v>20</v>
      </c>
      <c r="I166" s="99" t="s">
        <v>241</v>
      </c>
      <c r="J166" s="99" t="s">
        <v>147</v>
      </c>
      <c r="K166" s="99" t="b">
        <v>1</v>
      </c>
      <c r="L166" s="95">
        <v>2015</v>
      </c>
      <c r="M166" s="96">
        <v>0.0604</v>
      </c>
      <c r="N166" s="100">
        <v>41087</v>
      </c>
      <c r="O166" s="100">
        <v>41087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1425062</v>
      </c>
      <c r="E167" s="99">
        <v>2</v>
      </c>
      <c r="F167" s="99"/>
      <c r="G167" s="99">
        <v>42</v>
      </c>
      <c r="H167" s="99">
        <v>19</v>
      </c>
      <c r="I167" s="99" t="s">
        <v>249</v>
      </c>
      <c r="J167" s="99" t="s">
        <v>74</v>
      </c>
      <c r="K167" s="99" t="b">
        <v>1</v>
      </c>
      <c r="L167" s="95">
        <v>2013</v>
      </c>
      <c r="M167" s="96">
        <v>0.14</v>
      </c>
      <c r="N167" s="100">
        <v>41087</v>
      </c>
      <c r="O167" s="100">
        <v>41087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1425062</v>
      </c>
      <c r="E168" s="99">
        <v>2</v>
      </c>
      <c r="F168" s="99"/>
      <c r="G168" s="99">
        <v>49</v>
      </c>
      <c r="H168" s="99" t="s">
        <v>150</v>
      </c>
      <c r="I168" s="99" t="s">
        <v>248</v>
      </c>
      <c r="J168" s="99" t="s">
        <v>81</v>
      </c>
      <c r="K168" s="99" t="b">
        <v>0</v>
      </c>
      <c r="L168" s="95">
        <v>2021</v>
      </c>
      <c r="M168" s="96">
        <v>47</v>
      </c>
      <c r="N168" s="100">
        <v>41087</v>
      </c>
      <c r="O168" s="100">
        <v>41087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1425062</v>
      </c>
      <c r="E169" s="99">
        <v>2</v>
      </c>
      <c r="F169" s="99"/>
      <c r="G169" s="99">
        <v>45</v>
      </c>
      <c r="H169" s="99" t="s">
        <v>148</v>
      </c>
      <c r="I169" s="99" t="s">
        <v>245</v>
      </c>
      <c r="J169" s="99" t="s">
        <v>53</v>
      </c>
      <c r="K169" s="99" t="b">
        <v>0</v>
      </c>
      <c r="L169" s="95">
        <v>2020</v>
      </c>
      <c r="M169" s="96">
        <v>0.084</v>
      </c>
      <c r="N169" s="100">
        <v>41087</v>
      </c>
      <c r="O169" s="100">
        <v>41087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1425062</v>
      </c>
      <c r="E170" s="99">
        <v>2</v>
      </c>
      <c r="F170" s="99"/>
      <c r="G170" s="99">
        <v>47</v>
      </c>
      <c r="H170" s="99" t="s">
        <v>149</v>
      </c>
      <c r="I170" s="99" t="s">
        <v>257</v>
      </c>
      <c r="J170" s="99" t="s">
        <v>78</v>
      </c>
      <c r="K170" s="99" t="b">
        <v>0</v>
      </c>
      <c r="L170" s="95">
        <v>2012</v>
      </c>
      <c r="M170" s="96">
        <v>-252</v>
      </c>
      <c r="N170" s="100">
        <v>41087</v>
      </c>
      <c r="O170" s="100">
        <v>41087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1425062</v>
      </c>
      <c r="E171" s="99">
        <v>2</v>
      </c>
      <c r="F171" s="99"/>
      <c r="G171" s="99">
        <v>54</v>
      </c>
      <c r="H171" s="99">
        <v>27</v>
      </c>
      <c r="I171" s="99" t="s">
        <v>250</v>
      </c>
      <c r="J171" s="99" t="s">
        <v>46</v>
      </c>
      <c r="K171" s="99" t="b">
        <v>0</v>
      </c>
      <c r="L171" s="95">
        <v>2012</v>
      </c>
      <c r="M171" s="96">
        <v>32277336.29</v>
      </c>
      <c r="N171" s="100">
        <v>41087</v>
      </c>
      <c r="O171" s="100">
        <v>41087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1425062</v>
      </c>
      <c r="E172" s="99">
        <v>2</v>
      </c>
      <c r="F172" s="99"/>
      <c r="G172" s="99">
        <v>1</v>
      </c>
      <c r="H172" s="99">
        <v>1</v>
      </c>
      <c r="I172" s="99" t="s">
        <v>253</v>
      </c>
      <c r="J172" s="99" t="s">
        <v>95</v>
      </c>
      <c r="K172" s="99" t="b">
        <v>1</v>
      </c>
      <c r="L172" s="95">
        <v>2020</v>
      </c>
      <c r="M172" s="96">
        <v>35241407</v>
      </c>
      <c r="N172" s="100">
        <v>41087</v>
      </c>
      <c r="O172" s="100">
        <v>41087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1425062</v>
      </c>
      <c r="E173" s="99">
        <v>2</v>
      </c>
      <c r="F173" s="99"/>
      <c r="G173" s="99">
        <v>42</v>
      </c>
      <c r="H173" s="99">
        <v>19</v>
      </c>
      <c r="I173" s="99" t="s">
        <v>249</v>
      </c>
      <c r="J173" s="99" t="s">
        <v>74</v>
      </c>
      <c r="K173" s="99" t="b">
        <v>1</v>
      </c>
      <c r="L173" s="95">
        <v>2020</v>
      </c>
      <c r="M173" s="96">
        <v>0.0203</v>
      </c>
      <c r="N173" s="100">
        <v>41087</v>
      </c>
      <c r="O173" s="100">
        <v>41087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1425062</v>
      </c>
      <c r="E174" s="99">
        <v>2</v>
      </c>
      <c r="F174" s="99"/>
      <c r="G174" s="99">
        <v>54</v>
      </c>
      <c r="H174" s="99">
        <v>27</v>
      </c>
      <c r="I174" s="99" t="s">
        <v>250</v>
      </c>
      <c r="J174" s="99" t="s">
        <v>46</v>
      </c>
      <c r="K174" s="99" t="b">
        <v>0</v>
      </c>
      <c r="L174" s="95">
        <v>2015</v>
      </c>
      <c r="M174" s="96">
        <v>32104008</v>
      </c>
      <c r="N174" s="100">
        <v>41087</v>
      </c>
      <c r="O174" s="100">
        <v>41087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1425062</v>
      </c>
      <c r="E175" s="99">
        <v>2</v>
      </c>
      <c r="F175" s="99"/>
      <c r="G175" s="99">
        <v>8</v>
      </c>
      <c r="H175" s="99" t="s">
        <v>106</v>
      </c>
      <c r="I175" s="99"/>
      <c r="J175" s="99" t="s">
        <v>107</v>
      </c>
      <c r="K175" s="99" t="b">
        <v>0</v>
      </c>
      <c r="L175" s="95">
        <v>2020</v>
      </c>
      <c r="M175" s="96">
        <v>18041291</v>
      </c>
      <c r="N175" s="100">
        <v>41087</v>
      </c>
      <c r="O175" s="100">
        <v>41087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1425062</v>
      </c>
      <c r="E176" s="99">
        <v>2</v>
      </c>
      <c r="F176" s="99"/>
      <c r="G176" s="99">
        <v>41</v>
      </c>
      <c r="H176" s="99" t="s">
        <v>145</v>
      </c>
      <c r="I176" s="99" t="s">
        <v>256</v>
      </c>
      <c r="J176" s="99" t="s">
        <v>73</v>
      </c>
      <c r="K176" s="99" t="b">
        <v>0</v>
      </c>
      <c r="L176" s="95">
        <v>2021</v>
      </c>
      <c r="M176" s="96">
        <v>0.0457</v>
      </c>
      <c r="N176" s="100">
        <v>41087</v>
      </c>
      <c r="O176" s="100">
        <v>41087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1425062</v>
      </c>
      <c r="E177" s="99">
        <v>2</v>
      </c>
      <c r="F177" s="99"/>
      <c r="G177" s="99">
        <v>41</v>
      </c>
      <c r="H177" s="99" t="s">
        <v>145</v>
      </c>
      <c r="I177" s="99" t="s">
        <v>256</v>
      </c>
      <c r="J177" s="99" t="s">
        <v>73</v>
      </c>
      <c r="K177" s="99" t="b">
        <v>0</v>
      </c>
      <c r="L177" s="95">
        <v>2019</v>
      </c>
      <c r="M177" s="96">
        <v>0.136</v>
      </c>
      <c r="N177" s="100">
        <v>41087</v>
      </c>
      <c r="O177" s="100">
        <v>41087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1425062</v>
      </c>
      <c r="E178" s="99">
        <v>2</v>
      </c>
      <c r="F178" s="99"/>
      <c r="G178" s="99">
        <v>54</v>
      </c>
      <c r="H178" s="99">
        <v>27</v>
      </c>
      <c r="I178" s="99" t="s">
        <v>250</v>
      </c>
      <c r="J178" s="99" t="s">
        <v>46</v>
      </c>
      <c r="K178" s="99" t="b">
        <v>0</v>
      </c>
      <c r="L178" s="95">
        <v>2014</v>
      </c>
      <c r="M178" s="96">
        <v>31419737</v>
      </c>
      <c r="N178" s="100">
        <v>41087</v>
      </c>
      <c r="O178" s="100">
        <v>41087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1425062</v>
      </c>
      <c r="E179" s="99">
        <v>2</v>
      </c>
      <c r="F179" s="99"/>
      <c r="G179" s="99">
        <v>48</v>
      </c>
      <c r="H179" s="99">
        <v>22</v>
      </c>
      <c r="I179" s="99" t="s">
        <v>238</v>
      </c>
      <c r="J179" s="99" t="s">
        <v>79</v>
      </c>
      <c r="K179" s="99" t="b">
        <v>0</v>
      </c>
      <c r="L179" s="95">
        <v>2013</v>
      </c>
      <c r="M179" s="96">
        <v>0.14</v>
      </c>
      <c r="N179" s="100">
        <v>41087</v>
      </c>
      <c r="O179" s="100">
        <v>41087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1425062</v>
      </c>
      <c r="E180" s="99">
        <v>2</v>
      </c>
      <c r="F180" s="99"/>
      <c r="G180" s="99">
        <v>20</v>
      </c>
      <c r="H180" s="99">
        <v>7</v>
      </c>
      <c r="I180" s="99" t="s">
        <v>255</v>
      </c>
      <c r="J180" s="99" t="s">
        <v>12</v>
      </c>
      <c r="K180" s="99" t="b">
        <v>1</v>
      </c>
      <c r="L180" s="95">
        <v>2020</v>
      </c>
      <c r="M180" s="96">
        <v>716400</v>
      </c>
      <c r="N180" s="100">
        <v>41087</v>
      </c>
      <c r="O180" s="100">
        <v>41087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1425062</v>
      </c>
      <c r="E181" s="99">
        <v>2</v>
      </c>
      <c r="F181" s="99"/>
      <c r="G181" s="99">
        <v>43</v>
      </c>
      <c r="H181" s="99" t="s">
        <v>146</v>
      </c>
      <c r="I181" s="99" t="s">
        <v>252</v>
      </c>
      <c r="J181" s="99" t="s">
        <v>76</v>
      </c>
      <c r="K181" s="99" t="b">
        <v>0</v>
      </c>
      <c r="L181" s="95">
        <v>2014</v>
      </c>
      <c r="M181" s="96">
        <v>0.0434</v>
      </c>
      <c r="N181" s="100">
        <v>41087</v>
      </c>
      <c r="O181" s="100">
        <v>41087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1425062</v>
      </c>
      <c r="E182" s="99">
        <v>2</v>
      </c>
      <c r="F182" s="99"/>
      <c r="G182" s="99">
        <v>50</v>
      </c>
      <c r="H182" s="99">
        <v>23</v>
      </c>
      <c r="I182" s="99" t="s">
        <v>254</v>
      </c>
      <c r="J182" s="99" t="s">
        <v>151</v>
      </c>
      <c r="K182" s="99" t="b">
        <v>1</v>
      </c>
      <c r="L182" s="95">
        <v>2022</v>
      </c>
      <c r="M182" s="96">
        <v>38130238</v>
      </c>
      <c r="N182" s="100">
        <v>41087</v>
      </c>
      <c r="O182" s="100">
        <v>41087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1425062</v>
      </c>
      <c r="E183" s="99">
        <v>2</v>
      </c>
      <c r="F183" s="99"/>
      <c r="G183" s="99">
        <v>23</v>
      </c>
      <c r="H183" s="99" t="s">
        <v>128</v>
      </c>
      <c r="I183" s="99"/>
      <c r="J183" s="99" t="s">
        <v>129</v>
      </c>
      <c r="K183" s="99" t="b">
        <v>1</v>
      </c>
      <c r="L183" s="95">
        <v>2012</v>
      </c>
      <c r="M183" s="96">
        <v>636000</v>
      </c>
      <c r="N183" s="100">
        <v>41087</v>
      </c>
      <c r="O183" s="100">
        <v>41087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1425062</v>
      </c>
      <c r="E184" s="99">
        <v>2</v>
      </c>
      <c r="F184" s="99"/>
      <c r="G184" s="99">
        <v>50</v>
      </c>
      <c r="H184" s="99">
        <v>23</v>
      </c>
      <c r="I184" s="99" t="s">
        <v>254</v>
      </c>
      <c r="J184" s="99" t="s">
        <v>151</v>
      </c>
      <c r="K184" s="99" t="b">
        <v>1</v>
      </c>
      <c r="L184" s="95">
        <v>2012</v>
      </c>
      <c r="M184" s="96">
        <v>28407264.29</v>
      </c>
      <c r="N184" s="100">
        <v>41087</v>
      </c>
      <c r="O184" s="100">
        <v>41087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1425062</v>
      </c>
      <c r="E185" s="99">
        <v>2</v>
      </c>
      <c r="F185" s="99"/>
      <c r="G185" s="99">
        <v>41</v>
      </c>
      <c r="H185" s="99" t="s">
        <v>145</v>
      </c>
      <c r="I185" s="99" t="s">
        <v>256</v>
      </c>
      <c r="J185" s="99" t="s">
        <v>73</v>
      </c>
      <c r="K185" s="99" t="b">
        <v>0</v>
      </c>
      <c r="L185" s="95">
        <v>2015</v>
      </c>
      <c r="M185" s="96">
        <v>0.3473</v>
      </c>
      <c r="N185" s="100">
        <v>41087</v>
      </c>
      <c r="O185" s="100">
        <v>41087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1425062</v>
      </c>
      <c r="E186" s="99">
        <v>2</v>
      </c>
      <c r="F186" s="99"/>
      <c r="G186" s="99">
        <v>8</v>
      </c>
      <c r="H186" s="99" t="s">
        <v>106</v>
      </c>
      <c r="I186" s="99"/>
      <c r="J186" s="99" t="s">
        <v>107</v>
      </c>
      <c r="K186" s="99" t="b">
        <v>0</v>
      </c>
      <c r="L186" s="95">
        <v>2019</v>
      </c>
      <c r="M186" s="96">
        <v>17721733</v>
      </c>
      <c r="N186" s="100">
        <v>41087</v>
      </c>
      <c r="O186" s="100">
        <v>41087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1425062</v>
      </c>
      <c r="E187" s="99">
        <v>2</v>
      </c>
      <c r="F187" s="99"/>
      <c r="G187" s="99">
        <v>28</v>
      </c>
      <c r="H187" s="99" t="s">
        <v>134</v>
      </c>
      <c r="I187" s="99"/>
      <c r="J187" s="99" t="s">
        <v>135</v>
      </c>
      <c r="K187" s="99" t="b">
        <v>0</v>
      </c>
      <c r="L187" s="95">
        <v>2016</v>
      </c>
      <c r="M187" s="96">
        <v>3372147</v>
      </c>
      <c r="N187" s="100">
        <v>41087</v>
      </c>
      <c r="O187" s="100">
        <v>41087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1425062</v>
      </c>
      <c r="E188" s="99">
        <v>2</v>
      </c>
      <c r="F188" s="99"/>
      <c r="G188" s="99">
        <v>4</v>
      </c>
      <c r="H188" s="99" t="s">
        <v>100</v>
      </c>
      <c r="I188" s="99"/>
      <c r="J188" s="99" t="s">
        <v>101</v>
      </c>
      <c r="K188" s="99" t="b">
        <v>1</v>
      </c>
      <c r="L188" s="95">
        <v>2013</v>
      </c>
      <c r="M188" s="96">
        <v>1515000</v>
      </c>
      <c r="N188" s="100">
        <v>41087</v>
      </c>
      <c r="O188" s="100">
        <v>41087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1425062</v>
      </c>
      <c r="E189" s="99">
        <v>2</v>
      </c>
      <c r="F189" s="99"/>
      <c r="G189" s="99">
        <v>50</v>
      </c>
      <c r="H189" s="99">
        <v>23</v>
      </c>
      <c r="I189" s="99" t="s">
        <v>254</v>
      </c>
      <c r="J189" s="99" t="s">
        <v>151</v>
      </c>
      <c r="K189" s="99" t="b">
        <v>1</v>
      </c>
      <c r="L189" s="95">
        <v>2013</v>
      </c>
      <c r="M189" s="96">
        <v>29768833</v>
      </c>
      <c r="N189" s="100">
        <v>41087</v>
      </c>
      <c r="O189" s="100">
        <v>41087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1425062</v>
      </c>
      <c r="E190" s="99">
        <v>2</v>
      </c>
      <c r="F190" s="99"/>
      <c r="G190" s="99">
        <v>9</v>
      </c>
      <c r="H190" s="99" t="s">
        <v>108</v>
      </c>
      <c r="I190" s="99"/>
      <c r="J190" s="99" t="s">
        <v>109</v>
      </c>
      <c r="K190" s="99" t="b">
        <v>0</v>
      </c>
      <c r="L190" s="95">
        <v>2017</v>
      </c>
      <c r="M190" s="96">
        <v>3350627</v>
      </c>
      <c r="N190" s="100">
        <v>41087</v>
      </c>
      <c r="O190" s="100">
        <v>41087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1425062</v>
      </c>
      <c r="E191" s="99">
        <v>2</v>
      </c>
      <c r="F191" s="99"/>
      <c r="G191" s="99">
        <v>19</v>
      </c>
      <c r="H191" s="99">
        <v>6</v>
      </c>
      <c r="I191" s="99" t="s">
        <v>244</v>
      </c>
      <c r="J191" s="99" t="s">
        <v>123</v>
      </c>
      <c r="K191" s="99" t="b">
        <v>0</v>
      </c>
      <c r="L191" s="95">
        <v>2020</v>
      </c>
      <c r="M191" s="96">
        <v>2326459</v>
      </c>
      <c r="N191" s="100">
        <v>41087</v>
      </c>
      <c r="O191" s="100">
        <v>41087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1425062</v>
      </c>
      <c r="E192" s="99">
        <v>2</v>
      </c>
      <c r="F192" s="99"/>
      <c r="G192" s="99">
        <v>57</v>
      </c>
      <c r="H192" s="99">
        <v>30</v>
      </c>
      <c r="I192" s="99" t="s">
        <v>251</v>
      </c>
      <c r="J192" s="99" t="s">
        <v>155</v>
      </c>
      <c r="K192" s="99" t="b">
        <v>0</v>
      </c>
      <c r="L192" s="95">
        <v>2018</v>
      </c>
      <c r="M192" s="96">
        <v>1950000</v>
      </c>
      <c r="N192" s="100">
        <v>41087</v>
      </c>
      <c r="O192" s="100">
        <v>41087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1425062</v>
      </c>
      <c r="E193" s="99">
        <v>2</v>
      </c>
      <c r="F193" s="99"/>
      <c r="G193" s="99">
        <v>49</v>
      </c>
      <c r="H193" s="99" t="s">
        <v>150</v>
      </c>
      <c r="I193" s="99" t="s">
        <v>248</v>
      </c>
      <c r="J193" s="99" t="s">
        <v>81</v>
      </c>
      <c r="K193" s="99" t="b">
        <v>0</v>
      </c>
      <c r="L193" s="95">
        <v>2015</v>
      </c>
      <c r="M193" s="96">
        <v>27</v>
      </c>
      <c r="N193" s="100">
        <v>41087</v>
      </c>
      <c r="O193" s="100">
        <v>41087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1425062</v>
      </c>
      <c r="E194" s="99">
        <v>2</v>
      </c>
      <c r="F194" s="99"/>
      <c r="G194" s="99">
        <v>46</v>
      </c>
      <c r="H194" s="99">
        <v>21</v>
      </c>
      <c r="I194" s="99" t="s">
        <v>259</v>
      </c>
      <c r="J194" s="99" t="s">
        <v>54</v>
      </c>
      <c r="K194" s="99" t="b">
        <v>1</v>
      </c>
      <c r="L194" s="95">
        <v>2014</v>
      </c>
      <c r="M194" s="96">
        <v>0.0434</v>
      </c>
      <c r="N194" s="100">
        <v>41087</v>
      </c>
      <c r="O194" s="100">
        <v>41087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1425062</v>
      </c>
      <c r="E195" s="99">
        <v>2</v>
      </c>
      <c r="F195" s="99"/>
      <c r="G195" s="99">
        <v>46</v>
      </c>
      <c r="H195" s="99">
        <v>21</v>
      </c>
      <c r="I195" s="99" t="s">
        <v>259</v>
      </c>
      <c r="J195" s="99" t="s">
        <v>54</v>
      </c>
      <c r="K195" s="99" t="b">
        <v>1</v>
      </c>
      <c r="L195" s="95">
        <v>2017</v>
      </c>
      <c r="M195" s="96">
        <v>0.062</v>
      </c>
      <c r="N195" s="100">
        <v>41087</v>
      </c>
      <c r="O195" s="100">
        <v>41087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1425062</v>
      </c>
      <c r="E196" s="99">
        <v>2</v>
      </c>
      <c r="F196" s="99"/>
      <c r="G196" s="99">
        <v>51</v>
      </c>
      <c r="H196" s="99">
        <v>24</v>
      </c>
      <c r="I196" s="99" t="s">
        <v>260</v>
      </c>
      <c r="J196" s="99" t="s">
        <v>152</v>
      </c>
      <c r="K196" s="99" t="b">
        <v>1</v>
      </c>
      <c r="L196" s="95">
        <v>2019</v>
      </c>
      <c r="M196" s="96">
        <v>31702291</v>
      </c>
      <c r="N196" s="100">
        <v>41087</v>
      </c>
      <c r="O196" s="100">
        <v>41087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1425062</v>
      </c>
      <c r="E197" s="99">
        <v>2</v>
      </c>
      <c r="F197" s="99"/>
      <c r="G197" s="99">
        <v>43</v>
      </c>
      <c r="H197" s="99" t="s">
        <v>146</v>
      </c>
      <c r="I197" s="99" t="s">
        <v>252</v>
      </c>
      <c r="J197" s="99" t="s">
        <v>76</v>
      </c>
      <c r="K197" s="99" t="b">
        <v>0</v>
      </c>
      <c r="L197" s="95">
        <v>2013</v>
      </c>
      <c r="M197" s="96">
        <v>0.14</v>
      </c>
      <c r="N197" s="100">
        <v>41087</v>
      </c>
      <c r="O197" s="100">
        <v>41087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1425062</v>
      </c>
      <c r="E198" s="99">
        <v>2</v>
      </c>
      <c r="F198" s="99"/>
      <c r="G198" s="99">
        <v>40</v>
      </c>
      <c r="H198" s="99">
        <v>18</v>
      </c>
      <c r="I198" s="99" t="s">
        <v>258</v>
      </c>
      <c r="J198" s="99" t="s">
        <v>71</v>
      </c>
      <c r="K198" s="99" t="b">
        <v>0</v>
      </c>
      <c r="L198" s="95">
        <v>2018</v>
      </c>
      <c r="M198" s="96">
        <v>0.2128</v>
      </c>
      <c r="N198" s="100">
        <v>41087</v>
      </c>
      <c r="O198" s="100">
        <v>41087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1425062</v>
      </c>
      <c r="E199" s="99">
        <v>2</v>
      </c>
      <c r="F199" s="99"/>
      <c r="G199" s="99">
        <v>48</v>
      </c>
      <c r="H199" s="99">
        <v>22</v>
      </c>
      <c r="I199" s="99" t="s">
        <v>238</v>
      </c>
      <c r="J199" s="99" t="s">
        <v>79</v>
      </c>
      <c r="K199" s="99" t="b">
        <v>0</v>
      </c>
      <c r="L199" s="95">
        <v>2018</v>
      </c>
      <c r="M199" s="96">
        <v>0.0649</v>
      </c>
      <c r="N199" s="100">
        <v>41087</v>
      </c>
      <c r="O199" s="100">
        <v>41087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1425062</v>
      </c>
      <c r="E200" s="99">
        <v>2</v>
      </c>
      <c r="F200" s="99"/>
      <c r="G200" s="99">
        <v>24</v>
      </c>
      <c r="H200" s="99" t="s">
        <v>130</v>
      </c>
      <c r="I200" s="99"/>
      <c r="J200" s="99" t="s">
        <v>131</v>
      </c>
      <c r="K200" s="99" t="b">
        <v>1</v>
      </c>
      <c r="L200" s="95">
        <v>2014</v>
      </c>
      <c r="M200" s="96">
        <v>600000</v>
      </c>
      <c r="N200" s="100">
        <v>41087</v>
      </c>
      <c r="O200" s="100">
        <v>41087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1425062</v>
      </c>
      <c r="E201" s="99">
        <v>2</v>
      </c>
      <c r="F201" s="99"/>
      <c r="G201" s="99">
        <v>43</v>
      </c>
      <c r="H201" s="99" t="s">
        <v>146</v>
      </c>
      <c r="I201" s="99" t="s">
        <v>252</v>
      </c>
      <c r="J201" s="99" t="s">
        <v>76</v>
      </c>
      <c r="K201" s="99" t="b">
        <v>0</v>
      </c>
      <c r="L201" s="95">
        <v>2022</v>
      </c>
      <c r="M201" s="96">
        <v>0.0476</v>
      </c>
      <c r="N201" s="100">
        <v>41087</v>
      </c>
      <c r="O201" s="100">
        <v>41087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1425062</v>
      </c>
      <c r="E202" s="99">
        <v>2</v>
      </c>
      <c r="F202" s="99"/>
      <c r="G202" s="99">
        <v>51</v>
      </c>
      <c r="H202" s="99">
        <v>24</v>
      </c>
      <c r="I202" s="99" t="s">
        <v>260</v>
      </c>
      <c r="J202" s="99" t="s">
        <v>152</v>
      </c>
      <c r="K202" s="99" t="b">
        <v>1</v>
      </c>
      <c r="L202" s="95">
        <v>2022</v>
      </c>
      <c r="M202" s="96">
        <v>34328608</v>
      </c>
      <c r="N202" s="100">
        <v>41087</v>
      </c>
      <c r="O202" s="100">
        <v>41087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1425062</v>
      </c>
      <c r="E203" s="99">
        <v>2</v>
      </c>
      <c r="F203" s="99"/>
      <c r="G203" s="99">
        <v>33</v>
      </c>
      <c r="H203" s="99">
        <v>13</v>
      </c>
      <c r="I203" s="99"/>
      <c r="J203" s="99" t="s">
        <v>68</v>
      </c>
      <c r="K203" s="99" t="b">
        <v>1</v>
      </c>
      <c r="L203" s="95">
        <v>2019</v>
      </c>
      <c r="M203" s="96">
        <v>4760211</v>
      </c>
      <c r="N203" s="100">
        <v>41087</v>
      </c>
      <c r="O203" s="100">
        <v>41087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1425062</v>
      </c>
      <c r="E204" s="99">
        <v>2</v>
      </c>
      <c r="F204" s="99"/>
      <c r="G204" s="99">
        <v>44</v>
      </c>
      <c r="H204" s="99">
        <v>20</v>
      </c>
      <c r="I204" s="99" t="s">
        <v>241</v>
      </c>
      <c r="J204" s="99" t="s">
        <v>147</v>
      </c>
      <c r="K204" s="99" t="b">
        <v>1</v>
      </c>
      <c r="L204" s="95">
        <v>2019</v>
      </c>
      <c r="M204" s="96">
        <v>0.0941</v>
      </c>
      <c r="N204" s="100">
        <v>41087</v>
      </c>
      <c r="O204" s="100">
        <v>41087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1425062</v>
      </c>
      <c r="E205" s="99">
        <v>2</v>
      </c>
      <c r="F205" s="99"/>
      <c r="G205" s="99">
        <v>50</v>
      </c>
      <c r="H205" s="99">
        <v>23</v>
      </c>
      <c r="I205" s="99" t="s">
        <v>254</v>
      </c>
      <c r="J205" s="99" t="s">
        <v>151</v>
      </c>
      <c r="K205" s="99" t="b">
        <v>1</v>
      </c>
      <c r="L205" s="95">
        <v>2016</v>
      </c>
      <c r="M205" s="96">
        <v>31983475</v>
      </c>
      <c r="N205" s="100">
        <v>41087</v>
      </c>
      <c r="O205" s="100">
        <v>41087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1425062</v>
      </c>
      <c r="E206" s="99">
        <v>2</v>
      </c>
      <c r="F206" s="99"/>
      <c r="G206" s="99">
        <v>23</v>
      </c>
      <c r="H206" s="99" t="s">
        <v>128</v>
      </c>
      <c r="I206" s="99"/>
      <c r="J206" s="99" t="s">
        <v>129</v>
      </c>
      <c r="K206" s="99" t="b">
        <v>1</v>
      </c>
      <c r="L206" s="95">
        <v>2020</v>
      </c>
      <c r="M206" s="96">
        <v>216400</v>
      </c>
      <c r="N206" s="100">
        <v>41087</v>
      </c>
      <c r="O206" s="100">
        <v>41087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1425062</v>
      </c>
      <c r="E207" s="99">
        <v>2</v>
      </c>
      <c r="F207" s="99"/>
      <c r="G207" s="99">
        <v>21</v>
      </c>
      <c r="H207" s="99" t="s">
        <v>124</v>
      </c>
      <c r="I207" s="99"/>
      <c r="J207" s="99" t="s">
        <v>125</v>
      </c>
      <c r="K207" s="99" t="b">
        <v>1</v>
      </c>
      <c r="L207" s="95">
        <v>2018</v>
      </c>
      <c r="M207" s="96">
        <v>1950000</v>
      </c>
      <c r="N207" s="100">
        <v>41087</v>
      </c>
      <c r="O207" s="100">
        <v>41087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1425062</v>
      </c>
      <c r="E208" s="99">
        <v>2</v>
      </c>
      <c r="F208" s="99"/>
      <c r="G208" s="99">
        <v>9</v>
      </c>
      <c r="H208" s="99" t="s">
        <v>108</v>
      </c>
      <c r="I208" s="99"/>
      <c r="J208" s="99" t="s">
        <v>109</v>
      </c>
      <c r="K208" s="99" t="b">
        <v>0</v>
      </c>
      <c r="L208" s="95">
        <v>2015</v>
      </c>
      <c r="M208" s="96">
        <v>3182961</v>
      </c>
      <c r="N208" s="100">
        <v>41087</v>
      </c>
      <c r="O208" s="100">
        <v>41087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1425062</v>
      </c>
      <c r="E209" s="99">
        <v>2</v>
      </c>
      <c r="F209" s="99"/>
      <c r="G209" s="99">
        <v>52</v>
      </c>
      <c r="H209" s="99">
        <v>25</v>
      </c>
      <c r="I209" s="99" t="s">
        <v>240</v>
      </c>
      <c r="J209" s="99" t="s">
        <v>49</v>
      </c>
      <c r="K209" s="99" t="b">
        <v>1</v>
      </c>
      <c r="L209" s="95">
        <v>2013</v>
      </c>
      <c r="M209" s="96">
        <v>2183600</v>
      </c>
      <c r="N209" s="100">
        <v>41087</v>
      </c>
      <c r="O209" s="100">
        <v>41087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1425062</v>
      </c>
      <c r="E210" s="99">
        <v>2</v>
      </c>
      <c r="F210" s="99"/>
      <c r="G210" s="99">
        <v>42</v>
      </c>
      <c r="H210" s="99">
        <v>19</v>
      </c>
      <c r="I210" s="99" t="s">
        <v>249</v>
      </c>
      <c r="J210" s="99" t="s">
        <v>74</v>
      </c>
      <c r="K210" s="99" t="b">
        <v>1</v>
      </c>
      <c r="L210" s="95">
        <v>2012</v>
      </c>
      <c r="M210" s="96">
        <v>0.1183</v>
      </c>
      <c r="N210" s="100">
        <v>41087</v>
      </c>
      <c r="O210" s="100">
        <v>41087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1425062</v>
      </c>
      <c r="E211" s="99">
        <v>2</v>
      </c>
      <c r="F211" s="99"/>
      <c r="G211" s="99">
        <v>57</v>
      </c>
      <c r="H211" s="99">
        <v>30</v>
      </c>
      <c r="I211" s="99" t="s">
        <v>251</v>
      </c>
      <c r="J211" s="99" t="s">
        <v>155</v>
      </c>
      <c r="K211" s="99" t="b">
        <v>0</v>
      </c>
      <c r="L211" s="95">
        <v>2019</v>
      </c>
      <c r="M211" s="96">
        <v>2450000</v>
      </c>
      <c r="N211" s="100">
        <v>41087</v>
      </c>
      <c r="O211" s="100">
        <v>41087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1425062</v>
      </c>
      <c r="E212" s="99">
        <v>2</v>
      </c>
      <c r="F212" s="99"/>
      <c r="G212" s="99">
        <v>43</v>
      </c>
      <c r="H212" s="99" t="s">
        <v>146</v>
      </c>
      <c r="I212" s="99" t="s">
        <v>252</v>
      </c>
      <c r="J212" s="99" t="s">
        <v>76</v>
      </c>
      <c r="K212" s="99" t="b">
        <v>0</v>
      </c>
      <c r="L212" s="95">
        <v>2015</v>
      </c>
      <c r="M212" s="96">
        <v>0.0593</v>
      </c>
      <c r="N212" s="100">
        <v>41087</v>
      </c>
      <c r="O212" s="100">
        <v>41087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1425062</v>
      </c>
      <c r="E213" s="99">
        <v>2</v>
      </c>
      <c r="F213" s="99"/>
      <c r="G213" s="99">
        <v>1</v>
      </c>
      <c r="H213" s="99">
        <v>1</v>
      </c>
      <c r="I213" s="99" t="s">
        <v>253</v>
      </c>
      <c r="J213" s="99" t="s">
        <v>95</v>
      </c>
      <c r="K213" s="99" t="b">
        <v>1</v>
      </c>
      <c r="L213" s="95">
        <v>2013</v>
      </c>
      <c r="M213" s="96">
        <v>31283833</v>
      </c>
      <c r="N213" s="100">
        <v>41087</v>
      </c>
      <c r="O213" s="100">
        <v>41087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1425062</v>
      </c>
      <c r="E214" s="99">
        <v>2</v>
      </c>
      <c r="F214" s="99"/>
      <c r="G214" s="99">
        <v>47</v>
      </c>
      <c r="H214" s="99" t="s">
        <v>149</v>
      </c>
      <c r="I214" s="99" t="s">
        <v>257</v>
      </c>
      <c r="J214" s="99" t="s">
        <v>78</v>
      </c>
      <c r="K214" s="99" t="b">
        <v>0</v>
      </c>
      <c r="L214" s="95">
        <v>2013</v>
      </c>
      <c r="M214" s="96">
        <v>-827</v>
      </c>
      <c r="N214" s="100">
        <v>41087</v>
      </c>
      <c r="O214" s="100">
        <v>41087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1425062</v>
      </c>
      <c r="E215" s="99">
        <v>2</v>
      </c>
      <c r="F215" s="99"/>
      <c r="G215" s="99">
        <v>4</v>
      </c>
      <c r="H215" s="99" t="s">
        <v>100</v>
      </c>
      <c r="I215" s="99"/>
      <c r="J215" s="99" t="s">
        <v>101</v>
      </c>
      <c r="K215" s="99" t="b">
        <v>1</v>
      </c>
      <c r="L215" s="95">
        <v>2016</v>
      </c>
      <c r="M215" s="96">
        <v>1615313</v>
      </c>
      <c r="N215" s="100">
        <v>41087</v>
      </c>
      <c r="O215" s="100">
        <v>41087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1425062</v>
      </c>
      <c r="E216" s="99">
        <v>2</v>
      </c>
      <c r="F216" s="99"/>
      <c r="G216" s="99">
        <v>21</v>
      </c>
      <c r="H216" s="99" t="s">
        <v>124</v>
      </c>
      <c r="I216" s="99"/>
      <c r="J216" s="99" t="s">
        <v>125</v>
      </c>
      <c r="K216" s="99" t="b">
        <v>1</v>
      </c>
      <c r="L216" s="95">
        <v>2022</v>
      </c>
      <c r="M216" s="96">
        <v>1693635</v>
      </c>
      <c r="N216" s="100">
        <v>41087</v>
      </c>
      <c r="O216" s="100">
        <v>41087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1425062</v>
      </c>
      <c r="E217" s="99">
        <v>2</v>
      </c>
      <c r="F217" s="99"/>
      <c r="G217" s="99">
        <v>41</v>
      </c>
      <c r="H217" s="99" t="s">
        <v>145</v>
      </c>
      <c r="I217" s="99" t="s">
        <v>256</v>
      </c>
      <c r="J217" s="99" t="s">
        <v>73</v>
      </c>
      <c r="K217" s="99" t="b">
        <v>0</v>
      </c>
      <c r="L217" s="95">
        <v>2017</v>
      </c>
      <c r="M217" s="96">
        <v>0.2777</v>
      </c>
      <c r="N217" s="100">
        <v>41087</v>
      </c>
      <c r="O217" s="100">
        <v>41087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1425062</v>
      </c>
      <c r="E218" s="99">
        <v>2</v>
      </c>
      <c r="F218" s="99"/>
      <c r="G218" s="99">
        <v>24</v>
      </c>
      <c r="H218" s="99" t="s">
        <v>130</v>
      </c>
      <c r="I218" s="99"/>
      <c r="J218" s="99" t="s">
        <v>131</v>
      </c>
      <c r="K218" s="99" t="b">
        <v>1</v>
      </c>
      <c r="L218" s="95">
        <v>2012</v>
      </c>
      <c r="M218" s="96">
        <v>600000</v>
      </c>
      <c r="N218" s="100">
        <v>41087</v>
      </c>
      <c r="O218" s="100">
        <v>41087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1425062</v>
      </c>
      <c r="E219" s="99">
        <v>2</v>
      </c>
      <c r="F219" s="99"/>
      <c r="G219" s="99">
        <v>14</v>
      </c>
      <c r="H219" s="99">
        <v>3</v>
      </c>
      <c r="I219" s="99" t="s">
        <v>247</v>
      </c>
      <c r="J219" s="99" t="s">
        <v>118</v>
      </c>
      <c r="K219" s="99" t="b">
        <v>1</v>
      </c>
      <c r="L219" s="95">
        <v>2016</v>
      </c>
      <c r="M219" s="96">
        <v>4310444</v>
      </c>
      <c r="N219" s="100">
        <v>41087</v>
      </c>
      <c r="O219" s="100">
        <v>41087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1425062</v>
      </c>
      <c r="E220" s="99">
        <v>2</v>
      </c>
      <c r="F220" s="99"/>
      <c r="G220" s="99">
        <v>51</v>
      </c>
      <c r="H220" s="99">
        <v>24</v>
      </c>
      <c r="I220" s="99" t="s">
        <v>260</v>
      </c>
      <c r="J220" s="99" t="s">
        <v>152</v>
      </c>
      <c r="K220" s="99" t="b">
        <v>1</v>
      </c>
      <c r="L220" s="95">
        <v>2014</v>
      </c>
      <c r="M220" s="96">
        <v>28351737</v>
      </c>
      <c r="N220" s="100">
        <v>41087</v>
      </c>
      <c r="O220" s="100">
        <v>41087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1425062</v>
      </c>
      <c r="E221" s="99">
        <v>2</v>
      </c>
      <c r="F221" s="99"/>
      <c r="G221" s="99">
        <v>24</v>
      </c>
      <c r="H221" s="99" t="s">
        <v>130</v>
      </c>
      <c r="I221" s="99"/>
      <c r="J221" s="99" t="s">
        <v>131</v>
      </c>
      <c r="K221" s="99" t="b">
        <v>1</v>
      </c>
      <c r="L221" s="95">
        <v>2021</v>
      </c>
      <c r="M221" s="96">
        <v>130000</v>
      </c>
      <c r="N221" s="100">
        <v>41087</v>
      </c>
      <c r="O221" s="100">
        <v>41087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1425062</v>
      </c>
      <c r="E222" s="99">
        <v>2</v>
      </c>
      <c r="F222" s="99"/>
      <c r="G222" s="99">
        <v>23</v>
      </c>
      <c r="H222" s="99" t="s">
        <v>128</v>
      </c>
      <c r="I222" s="99"/>
      <c r="J222" s="99" t="s">
        <v>129</v>
      </c>
      <c r="K222" s="99" t="b">
        <v>1</v>
      </c>
      <c r="L222" s="95">
        <v>2013</v>
      </c>
      <c r="M222" s="96">
        <v>720000</v>
      </c>
      <c r="N222" s="100">
        <v>41087</v>
      </c>
      <c r="O222" s="100">
        <v>41087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1425062</v>
      </c>
      <c r="E223" s="99">
        <v>2</v>
      </c>
      <c r="F223" s="99"/>
      <c r="G223" s="99">
        <v>42</v>
      </c>
      <c r="H223" s="99">
        <v>19</v>
      </c>
      <c r="I223" s="99" t="s">
        <v>249</v>
      </c>
      <c r="J223" s="99" t="s">
        <v>74</v>
      </c>
      <c r="K223" s="99" t="b">
        <v>1</v>
      </c>
      <c r="L223" s="95">
        <v>2018</v>
      </c>
      <c r="M223" s="96">
        <v>0.0649</v>
      </c>
      <c r="N223" s="100">
        <v>41087</v>
      </c>
      <c r="O223" s="100">
        <v>41087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1425062</v>
      </c>
      <c r="E224" s="99">
        <v>2</v>
      </c>
      <c r="F224" s="99"/>
      <c r="G224" s="99">
        <v>37</v>
      </c>
      <c r="H224" s="99">
        <v>16</v>
      </c>
      <c r="I224" s="99"/>
      <c r="J224" s="99" t="s">
        <v>142</v>
      </c>
      <c r="K224" s="99" t="b">
        <v>1</v>
      </c>
      <c r="L224" s="95">
        <v>2018</v>
      </c>
      <c r="M224" s="96">
        <v>1950000</v>
      </c>
      <c r="N224" s="100">
        <v>41087</v>
      </c>
      <c r="O224" s="100">
        <v>41087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1425062</v>
      </c>
      <c r="E225" s="99">
        <v>2</v>
      </c>
      <c r="F225" s="99"/>
      <c r="G225" s="99">
        <v>9</v>
      </c>
      <c r="H225" s="99" t="s">
        <v>108</v>
      </c>
      <c r="I225" s="99"/>
      <c r="J225" s="99" t="s">
        <v>109</v>
      </c>
      <c r="K225" s="99" t="b">
        <v>0</v>
      </c>
      <c r="L225" s="95">
        <v>2013</v>
      </c>
      <c r="M225" s="96">
        <v>3023685</v>
      </c>
      <c r="N225" s="100">
        <v>41087</v>
      </c>
      <c r="O225" s="100">
        <v>41087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1425062</v>
      </c>
      <c r="E226" s="99">
        <v>2</v>
      </c>
      <c r="F226" s="99"/>
      <c r="G226" s="99">
        <v>49</v>
      </c>
      <c r="H226" s="99" t="s">
        <v>150</v>
      </c>
      <c r="I226" s="99" t="s">
        <v>248</v>
      </c>
      <c r="J226" s="99" t="s">
        <v>81</v>
      </c>
      <c r="K226" s="99" t="b">
        <v>0</v>
      </c>
      <c r="L226" s="95">
        <v>2014</v>
      </c>
      <c r="M226" s="96">
        <v>19</v>
      </c>
      <c r="N226" s="100">
        <v>41087</v>
      </c>
      <c r="O226" s="100">
        <v>41087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1425062</v>
      </c>
      <c r="E227" s="99">
        <v>2</v>
      </c>
      <c r="F227" s="99"/>
      <c r="G227" s="99">
        <v>55</v>
      </c>
      <c r="H227" s="99">
        <v>28</v>
      </c>
      <c r="I227" s="99" t="s">
        <v>243</v>
      </c>
      <c r="J227" s="99" t="s">
        <v>48</v>
      </c>
      <c r="K227" s="99" t="b">
        <v>0</v>
      </c>
      <c r="L227" s="95">
        <v>2016</v>
      </c>
      <c r="M227" s="96">
        <v>438297</v>
      </c>
      <c r="N227" s="100">
        <v>41087</v>
      </c>
      <c r="O227" s="100">
        <v>41087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1425062</v>
      </c>
      <c r="E228" s="99">
        <v>2</v>
      </c>
      <c r="F228" s="99"/>
      <c r="G228" s="99">
        <v>13</v>
      </c>
      <c r="H228" s="99" t="s">
        <v>116</v>
      </c>
      <c r="I228" s="99"/>
      <c r="J228" s="99" t="s">
        <v>117</v>
      </c>
      <c r="K228" s="99" t="b">
        <v>0</v>
      </c>
      <c r="L228" s="95">
        <v>2014</v>
      </c>
      <c r="M228" s="96">
        <v>200000</v>
      </c>
      <c r="N228" s="100">
        <v>41087</v>
      </c>
      <c r="O228" s="100">
        <v>41087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1425062</v>
      </c>
      <c r="E229" s="99">
        <v>2</v>
      </c>
      <c r="F229" s="99"/>
      <c r="G229" s="99">
        <v>54</v>
      </c>
      <c r="H229" s="99">
        <v>27</v>
      </c>
      <c r="I229" s="99" t="s">
        <v>250</v>
      </c>
      <c r="J229" s="99" t="s">
        <v>46</v>
      </c>
      <c r="K229" s="99" t="b">
        <v>0</v>
      </c>
      <c r="L229" s="95">
        <v>2020</v>
      </c>
      <c r="M229" s="96">
        <v>34741407</v>
      </c>
      <c r="N229" s="100">
        <v>41087</v>
      </c>
      <c r="O229" s="100">
        <v>41087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1425062</v>
      </c>
      <c r="E230" s="99">
        <v>2</v>
      </c>
      <c r="F230" s="99"/>
      <c r="G230" s="99">
        <v>44</v>
      </c>
      <c r="H230" s="99">
        <v>20</v>
      </c>
      <c r="I230" s="99" t="s">
        <v>241</v>
      </c>
      <c r="J230" s="99" t="s">
        <v>147</v>
      </c>
      <c r="K230" s="99" t="b">
        <v>1</v>
      </c>
      <c r="L230" s="95">
        <v>2017</v>
      </c>
      <c r="M230" s="96">
        <v>0.0796</v>
      </c>
      <c r="N230" s="100">
        <v>41087</v>
      </c>
      <c r="O230" s="100">
        <v>41087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1425062</v>
      </c>
      <c r="E231" s="99">
        <v>2</v>
      </c>
      <c r="F231" s="99"/>
      <c r="G231" s="99">
        <v>23</v>
      </c>
      <c r="H231" s="99" t="s">
        <v>128</v>
      </c>
      <c r="I231" s="99"/>
      <c r="J231" s="99" t="s">
        <v>129</v>
      </c>
      <c r="K231" s="99" t="b">
        <v>1</v>
      </c>
      <c r="L231" s="95">
        <v>2014</v>
      </c>
      <c r="M231" s="96">
        <v>610000</v>
      </c>
      <c r="N231" s="100">
        <v>41087</v>
      </c>
      <c r="O231" s="100">
        <v>41087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1425062</v>
      </c>
      <c r="E232" s="99">
        <v>2</v>
      </c>
      <c r="F232" s="99"/>
      <c r="G232" s="99">
        <v>53</v>
      </c>
      <c r="H232" s="99">
        <v>26</v>
      </c>
      <c r="I232" s="99" t="s">
        <v>242</v>
      </c>
      <c r="J232" s="99" t="s">
        <v>153</v>
      </c>
      <c r="K232" s="99" t="b">
        <v>1</v>
      </c>
      <c r="L232" s="95">
        <v>2019</v>
      </c>
      <c r="M232" s="96">
        <v>34994570</v>
      </c>
      <c r="N232" s="100">
        <v>41087</v>
      </c>
      <c r="O232" s="100">
        <v>41087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1425062</v>
      </c>
      <c r="E233" s="99">
        <v>2</v>
      </c>
      <c r="F233" s="99"/>
      <c r="G233" s="99">
        <v>33</v>
      </c>
      <c r="H233" s="99">
        <v>13</v>
      </c>
      <c r="I233" s="99"/>
      <c r="J233" s="99" t="s">
        <v>68</v>
      </c>
      <c r="K233" s="99" t="b">
        <v>1</v>
      </c>
      <c r="L233" s="95">
        <v>2012</v>
      </c>
      <c r="M233" s="96">
        <v>12709000</v>
      </c>
      <c r="N233" s="100">
        <v>41087</v>
      </c>
      <c r="O233" s="100">
        <v>41087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1425062</v>
      </c>
      <c r="E234" s="99">
        <v>2</v>
      </c>
      <c r="F234" s="99"/>
      <c r="G234" s="99">
        <v>27</v>
      </c>
      <c r="H234" s="99">
        <v>10</v>
      </c>
      <c r="I234" s="99"/>
      <c r="J234" s="99" t="s">
        <v>18</v>
      </c>
      <c r="K234" s="99" t="b">
        <v>0</v>
      </c>
      <c r="L234" s="95">
        <v>2019</v>
      </c>
      <c r="M234" s="96">
        <v>842279</v>
      </c>
      <c r="N234" s="100">
        <v>41087</v>
      </c>
      <c r="O234" s="100">
        <v>41087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1425062</v>
      </c>
      <c r="E235" s="99">
        <v>2</v>
      </c>
      <c r="F235" s="99"/>
      <c r="G235" s="99">
        <v>47</v>
      </c>
      <c r="H235" s="99" t="s">
        <v>149</v>
      </c>
      <c r="I235" s="99" t="s">
        <v>257</v>
      </c>
      <c r="J235" s="99" t="s">
        <v>78</v>
      </c>
      <c r="K235" s="99" t="b">
        <v>0</v>
      </c>
      <c r="L235" s="95">
        <v>2017</v>
      </c>
      <c r="M235" s="96">
        <v>1</v>
      </c>
      <c r="N235" s="100">
        <v>41087</v>
      </c>
      <c r="O235" s="100">
        <v>41087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1425062</v>
      </c>
      <c r="E236" s="99">
        <v>2</v>
      </c>
      <c r="F236" s="99"/>
      <c r="G236" s="99">
        <v>14</v>
      </c>
      <c r="H236" s="99">
        <v>3</v>
      </c>
      <c r="I236" s="99" t="s">
        <v>247</v>
      </c>
      <c r="J236" s="99" t="s">
        <v>118</v>
      </c>
      <c r="K236" s="99" t="b">
        <v>1</v>
      </c>
      <c r="L236" s="95">
        <v>2013</v>
      </c>
      <c r="M236" s="96">
        <v>4418600</v>
      </c>
      <c r="N236" s="100">
        <v>41087</v>
      </c>
      <c r="O236" s="100">
        <v>41087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1425062</v>
      </c>
      <c r="E237" s="99">
        <v>2</v>
      </c>
      <c r="F237" s="99"/>
      <c r="G237" s="99">
        <v>37</v>
      </c>
      <c r="H237" s="99">
        <v>16</v>
      </c>
      <c r="I237" s="99"/>
      <c r="J237" s="99" t="s">
        <v>142</v>
      </c>
      <c r="K237" s="99" t="b">
        <v>1</v>
      </c>
      <c r="L237" s="95">
        <v>2022</v>
      </c>
      <c r="M237" s="96">
        <v>1693635</v>
      </c>
      <c r="N237" s="100">
        <v>41087</v>
      </c>
      <c r="O237" s="100">
        <v>41087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1425062</v>
      </c>
      <c r="E238" s="99">
        <v>2</v>
      </c>
      <c r="F238" s="99"/>
      <c r="G238" s="99">
        <v>1</v>
      </c>
      <c r="H238" s="99">
        <v>1</v>
      </c>
      <c r="I238" s="99" t="s">
        <v>253</v>
      </c>
      <c r="J238" s="99" t="s">
        <v>95</v>
      </c>
      <c r="K238" s="99" t="b">
        <v>1</v>
      </c>
      <c r="L238" s="95">
        <v>2014</v>
      </c>
      <c r="M238" s="96">
        <v>31794363</v>
      </c>
      <c r="N238" s="100">
        <v>41087</v>
      </c>
      <c r="O238" s="100">
        <v>41087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1425062</v>
      </c>
      <c r="E239" s="99">
        <v>2</v>
      </c>
      <c r="F239" s="99"/>
      <c r="G239" s="99">
        <v>28</v>
      </c>
      <c r="H239" s="99" t="s">
        <v>134</v>
      </c>
      <c r="I239" s="99"/>
      <c r="J239" s="99" t="s">
        <v>135</v>
      </c>
      <c r="K239" s="99" t="b">
        <v>0</v>
      </c>
      <c r="L239" s="95">
        <v>2014</v>
      </c>
      <c r="M239" s="96">
        <v>3068000</v>
      </c>
      <c r="N239" s="100">
        <v>41087</v>
      </c>
      <c r="O239" s="100">
        <v>41087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1425062</v>
      </c>
      <c r="E240" s="99">
        <v>2</v>
      </c>
      <c r="F240" s="99"/>
      <c r="G240" s="99">
        <v>20</v>
      </c>
      <c r="H240" s="99">
        <v>7</v>
      </c>
      <c r="I240" s="99" t="s">
        <v>255</v>
      </c>
      <c r="J240" s="99" t="s">
        <v>12</v>
      </c>
      <c r="K240" s="99" t="b">
        <v>1</v>
      </c>
      <c r="L240" s="95">
        <v>2021</v>
      </c>
      <c r="M240" s="96">
        <v>2696576</v>
      </c>
      <c r="N240" s="100">
        <v>41087</v>
      </c>
      <c r="O240" s="100">
        <v>41087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1425062</v>
      </c>
      <c r="E241" s="99">
        <v>2</v>
      </c>
      <c r="F241" s="99"/>
      <c r="G241" s="99">
        <v>8</v>
      </c>
      <c r="H241" s="99" t="s">
        <v>106</v>
      </c>
      <c r="I241" s="99"/>
      <c r="J241" s="99" t="s">
        <v>107</v>
      </c>
      <c r="K241" s="99" t="b">
        <v>0</v>
      </c>
      <c r="L241" s="95">
        <v>2022</v>
      </c>
      <c r="M241" s="96">
        <v>18880734</v>
      </c>
      <c r="N241" s="100">
        <v>41087</v>
      </c>
      <c r="O241" s="100">
        <v>41087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1425062</v>
      </c>
      <c r="E242" s="99">
        <v>2</v>
      </c>
      <c r="F242" s="99"/>
      <c r="G242" s="99">
        <v>4</v>
      </c>
      <c r="H242" s="99" t="s">
        <v>100</v>
      </c>
      <c r="I242" s="99"/>
      <c r="J242" s="99" t="s">
        <v>101</v>
      </c>
      <c r="K242" s="99" t="b">
        <v>1</v>
      </c>
      <c r="L242" s="95">
        <v>2014</v>
      </c>
      <c r="M242" s="96">
        <v>1515000</v>
      </c>
      <c r="N242" s="100">
        <v>41087</v>
      </c>
      <c r="O242" s="100">
        <v>41087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1425062</v>
      </c>
      <c r="E243" s="99">
        <v>2</v>
      </c>
      <c r="F243" s="99"/>
      <c r="G243" s="99">
        <v>8</v>
      </c>
      <c r="H243" s="99" t="s">
        <v>106</v>
      </c>
      <c r="I243" s="99"/>
      <c r="J243" s="99" t="s">
        <v>107</v>
      </c>
      <c r="K243" s="99" t="b">
        <v>0</v>
      </c>
      <c r="L243" s="95">
        <v>2012</v>
      </c>
      <c r="M243" s="96">
        <v>14686122</v>
      </c>
      <c r="N243" s="100">
        <v>41087</v>
      </c>
      <c r="O243" s="100">
        <v>41087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1425062</v>
      </c>
      <c r="E244" s="99">
        <v>2</v>
      </c>
      <c r="F244" s="99"/>
      <c r="G244" s="99">
        <v>51</v>
      </c>
      <c r="H244" s="99">
        <v>24</v>
      </c>
      <c r="I244" s="99" t="s">
        <v>260</v>
      </c>
      <c r="J244" s="99" t="s">
        <v>152</v>
      </c>
      <c r="K244" s="99" t="b">
        <v>1</v>
      </c>
      <c r="L244" s="95">
        <v>2015</v>
      </c>
      <c r="M244" s="96">
        <v>29036008</v>
      </c>
      <c r="N244" s="100">
        <v>41087</v>
      </c>
      <c r="O244" s="100">
        <v>41087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1425062</v>
      </c>
      <c r="E245" s="99">
        <v>2</v>
      </c>
      <c r="F245" s="99"/>
      <c r="G245" s="99">
        <v>40</v>
      </c>
      <c r="H245" s="99">
        <v>18</v>
      </c>
      <c r="I245" s="99" t="s">
        <v>258</v>
      </c>
      <c r="J245" s="99" t="s">
        <v>71</v>
      </c>
      <c r="K245" s="99" t="b">
        <v>0</v>
      </c>
      <c r="L245" s="95">
        <v>2013</v>
      </c>
      <c r="M245" s="96">
        <v>0.3861</v>
      </c>
      <c r="N245" s="100">
        <v>41087</v>
      </c>
      <c r="O245" s="100">
        <v>41087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1425062</v>
      </c>
      <c r="E246" s="99">
        <v>2</v>
      </c>
      <c r="F246" s="99"/>
      <c r="G246" s="99">
        <v>2</v>
      </c>
      <c r="H246" s="99" t="s">
        <v>96</v>
      </c>
      <c r="I246" s="99"/>
      <c r="J246" s="99" t="s">
        <v>97</v>
      </c>
      <c r="K246" s="99" t="b">
        <v>1</v>
      </c>
      <c r="L246" s="95">
        <v>2019</v>
      </c>
      <c r="M246" s="96">
        <v>34994570</v>
      </c>
      <c r="N246" s="100">
        <v>41087</v>
      </c>
      <c r="O246" s="100">
        <v>41087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1425062</v>
      </c>
      <c r="E247" s="99">
        <v>2</v>
      </c>
      <c r="F247" s="99"/>
      <c r="G247" s="99">
        <v>46</v>
      </c>
      <c r="H247" s="99">
        <v>21</v>
      </c>
      <c r="I247" s="99" t="s">
        <v>259</v>
      </c>
      <c r="J247" s="99" t="s">
        <v>54</v>
      </c>
      <c r="K247" s="99" t="b">
        <v>1</v>
      </c>
      <c r="L247" s="95">
        <v>2013</v>
      </c>
      <c r="M247" s="96">
        <v>0.14</v>
      </c>
      <c r="N247" s="100">
        <v>41087</v>
      </c>
      <c r="O247" s="100">
        <v>41087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1425062</v>
      </c>
      <c r="E248" s="99">
        <v>2</v>
      </c>
      <c r="F248" s="99"/>
      <c r="G248" s="99">
        <v>52</v>
      </c>
      <c r="H248" s="99">
        <v>25</v>
      </c>
      <c r="I248" s="99" t="s">
        <v>240</v>
      </c>
      <c r="J248" s="99" t="s">
        <v>49</v>
      </c>
      <c r="K248" s="99" t="b">
        <v>1</v>
      </c>
      <c r="L248" s="95">
        <v>2018</v>
      </c>
      <c r="M248" s="96">
        <v>2656476</v>
      </c>
      <c r="N248" s="100">
        <v>41087</v>
      </c>
      <c r="O248" s="100">
        <v>41087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1425062</v>
      </c>
      <c r="E249" s="99">
        <v>2</v>
      </c>
      <c r="F249" s="99"/>
      <c r="G249" s="99">
        <v>55</v>
      </c>
      <c r="H249" s="99">
        <v>28</v>
      </c>
      <c r="I249" s="99" t="s">
        <v>243</v>
      </c>
      <c r="J249" s="99" t="s">
        <v>48</v>
      </c>
      <c r="K249" s="99" t="b">
        <v>0</v>
      </c>
      <c r="L249" s="95">
        <v>2015</v>
      </c>
      <c r="M249" s="96">
        <v>411266</v>
      </c>
      <c r="N249" s="100">
        <v>41087</v>
      </c>
      <c r="O249" s="100">
        <v>41087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1425062</v>
      </c>
      <c r="E250" s="99">
        <v>2</v>
      </c>
      <c r="F250" s="99"/>
      <c r="G250" s="99">
        <v>40</v>
      </c>
      <c r="H250" s="99">
        <v>18</v>
      </c>
      <c r="I250" s="99" t="s">
        <v>258</v>
      </c>
      <c r="J250" s="99" t="s">
        <v>71</v>
      </c>
      <c r="K250" s="99" t="b">
        <v>0</v>
      </c>
      <c r="L250" s="95">
        <v>2014</v>
      </c>
      <c r="M250" s="96">
        <v>0.3681</v>
      </c>
      <c r="N250" s="100">
        <v>41087</v>
      </c>
      <c r="O250" s="100">
        <v>41087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1425062</v>
      </c>
      <c r="E251" s="99">
        <v>2</v>
      </c>
      <c r="F251" s="99"/>
      <c r="G251" s="99">
        <v>43</v>
      </c>
      <c r="H251" s="99" t="s">
        <v>146</v>
      </c>
      <c r="I251" s="99" t="s">
        <v>252</v>
      </c>
      <c r="J251" s="99" t="s">
        <v>76</v>
      </c>
      <c r="K251" s="99" t="b">
        <v>0</v>
      </c>
      <c r="L251" s="95">
        <v>2019</v>
      </c>
      <c r="M251" s="96">
        <v>0.0734</v>
      </c>
      <c r="N251" s="100">
        <v>41087</v>
      </c>
      <c r="O251" s="100">
        <v>41087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1425062</v>
      </c>
      <c r="E252" s="99">
        <v>2</v>
      </c>
      <c r="F252" s="99"/>
      <c r="G252" s="99">
        <v>41</v>
      </c>
      <c r="H252" s="99" t="s">
        <v>145</v>
      </c>
      <c r="I252" s="99" t="s">
        <v>256</v>
      </c>
      <c r="J252" s="99" t="s">
        <v>73</v>
      </c>
      <c r="K252" s="99" t="b">
        <v>0</v>
      </c>
      <c r="L252" s="95">
        <v>2016</v>
      </c>
      <c r="M252" s="96">
        <v>0.3231</v>
      </c>
      <c r="N252" s="100">
        <v>41087</v>
      </c>
      <c r="O252" s="100">
        <v>41087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1425062</v>
      </c>
      <c r="E253" s="99">
        <v>2</v>
      </c>
      <c r="F253" s="99"/>
      <c r="G253" s="99">
        <v>44</v>
      </c>
      <c r="H253" s="99">
        <v>20</v>
      </c>
      <c r="I253" s="99" t="s">
        <v>241</v>
      </c>
      <c r="J253" s="99" t="s">
        <v>147</v>
      </c>
      <c r="K253" s="99" t="b">
        <v>1</v>
      </c>
      <c r="L253" s="95">
        <v>2021</v>
      </c>
      <c r="M253" s="96">
        <v>0.0935</v>
      </c>
      <c r="N253" s="100">
        <v>41087</v>
      </c>
      <c r="O253" s="100">
        <v>41087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1425062</v>
      </c>
      <c r="E254" s="99">
        <v>2</v>
      </c>
      <c r="F254" s="99"/>
      <c r="G254" s="99">
        <v>41</v>
      </c>
      <c r="H254" s="99" t="s">
        <v>145</v>
      </c>
      <c r="I254" s="99" t="s">
        <v>256</v>
      </c>
      <c r="J254" s="99" t="s">
        <v>73</v>
      </c>
      <c r="K254" s="99" t="b">
        <v>0</v>
      </c>
      <c r="L254" s="95">
        <v>2013</v>
      </c>
      <c r="M254" s="96">
        <v>0.3861</v>
      </c>
      <c r="N254" s="100">
        <v>41087</v>
      </c>
      <c r="O254" s="100">
        <v>41087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1425062</v>
      </c>
      <c r="E255" s="99">
        <v>2</v>
      </c>
      <c r="F255" s="99"/>
      <c r="G255" s="99">
        <v>53</v>
      </c>
      <c r="H255" s="99">
        <v>26</v>
      </c>
      <c r="I255" s="99" t="s">
        <v>242</v>
      </c>
      <c r="J255" s="99" t="s">
        <v>153</v>
      </c>
      <c r="K255" s="99" t="b">
        <v>1</v>
      </c>
      <c r="L255" s="95">
        <v>2021</v>
      </c>
      <c r="M255" s="96">
        <v>37019649</v>
      </c>
      <c r="N255" s="100">
        <v>41087</v>
      </c>
      <c r="O255" s="100">
        <v>41087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1425062</v>
      </c>
      <c r="E256" s="99">
        <v>2</v>
      </c>
      <c r="F256" s="99"/>
      <c r="G256" s="99">
        <v>30</v>
      </c>
      <c r="H256" s="99">
        <v>11</v>
      </c>
      <c r="I256" s="99"/>
      <c r="J256" s="99" t="s">
        <v>64</v>
      </c>
      <c r="K256" s="99" t="b">
        <v>1</v>
      </c>
      <c r="L256" s="95">
        <v>2014</v>
      </c>
      <c r="M256" s="96">
        <v>406374</v>
      </c>
      <c r="N256" s="100">
        <v>41087</v>
      </c>
      <c r="O256" s="100">
        <v>41087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1425062</v>
      </c>
      <c r="E257" s="99">
        <v>2</v>
      </c>
      <c r="F257" s="99"/>
      <c r="G257" s="99">
        <v>37</v>
      </c>
      <c r="H257" s="99">
        <v>16</v>
      </c>
      <c r="I257" s="99"/>
      <c r="J257" s="99" t="s">
        <v>142</v>
      </c>
      <c r="K257" s="99" t="b">
        <v>1</v>
      </c>
      <c r="L257" s="95">
        <v>2013</v>
      </c>
      <c r="M257" s="96">
        <v>630600</v>
      </c>
      <c r="N257" s="100">
        <v>41087</v>
      </c>
      <c r="O257" s="100">
        <v>41087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1425062</v>
      </c>
      <c r="E258" s="99">
        <v>2</v>
      </c>
      <c r="F258" s="99"/>
      <c r="G258" s="99">
        <v>12</v>
      </c>
      <c r="H258" s="99" t="s">
        <v>114</v>
      </c>
      <c r="I258" s="99"/>
      <c r="J258" s="99" t="s">
        <v>115</v>
      </c>
      <c r="K258" s="99" t="b">
        <v>0</v>
      </c>
      <c r="L258" s="95">
        <v>2013</v>
      </c>
      <c r="M258" s="96">
        <v>460000</v>
      </c>
      <c r="N258" s="100">
        <v>41087</v>
      </c>
      <c r="O258" s="100">
        <v>41087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1425062</v>
      </c>
      <c r="E259" s="99">
        <v>2</v>
      </c>
      <c r="F259" s="99"/>
      <c r="G259" s="99">
        <v>27</v>
      </c>
      <c r="H259" s="99">
        <v>10</v>
      </c>
      <c r="I259" s="99"/>
      <c r="J259" s="99" t="s">
        <v>18</v>
      </c>
      <c r="K259" s="99" t="b">
        <v>0</v>
      </c>
      <c r="L259" s="95">
        <v>2018</v>
      </c>
      <c r="M259" s="96">
        <v>706476</v>
      </c>
      <c r="N259" s="100">
        <v>41087</v>
      </c>
      <c r="O259" s="100">
        <v>41087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1425062</v>
      </c>
      <c r="E260" s="99">
        <v>2</v>
      </c>
      <c r="F260" s="99"/>
      <c r="G260" s="99">
        <v>26</v>
      </c>
      <c r="H260" s="99">
        <v>9</v>
      </c>
      <c r="I260" s="99" t="s">
        <v>239</v>
      </c>
      <c r="J260" s="99" t="s">
        <v>133</v>
      </c>
      <c r="K260" s="99" t="b">
        <v>0</v>
      </c>
      <c r="L260" s="95">
        <v>2017</v>
      </c>
      <c r="M260" s="96">
        <v>931238</v>
      </c>
      <c r="N260" s="100">
        <v>41087</v>
      </c>
      <c r="O260" s="100">
        <v>41087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1425062</v>
      </c>
      <c r="E261" s="99">
        <v>2</v>
      </c>
      <c r="F261" s="99"/>
      <c r="G261" s="99">
        <v>56</v>
      </c>
      <c r="H261" s="99">
        <v>29</v>
      </c>
      <c r="I261" s="99" t="s">
        <v>246</v>
      </c>
      <c r="J261" s="99" t="s">
        <v>154</v>
      </c>
      <c r="K261" s="99" t="b">
        <v>0</v>
      </c>
      <c r="L261" s="95">
        <v>2013</v>
      </c>
      <c r="M261" s="96">
        <v>3040000</v>
      </c>
      <c r="N261" s="100">
        <v>41087</v>
      </c>
      <c r="O261" s="100">
        <v>41087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1425062</v>
      </c>
      <c r="E262" s="99">
        <v>2</v>
      </c>
      <c r="F262" s="99"/>
      <c r="G262" s="99">
        <v>55</v>
      </c>
      <c r="H262" s="99">
        <v>28</v>
      </c>
      <c r="I262" s="99" t="s">
        <v>243</v>
      </c>
      <c r="J262" s="99" t="s">
        <v>48</v>
      </c>
      <c r="K262" s="99" t="b">
        <v>0</v>
      </c>
      <c r="L262" s="95">
        <v>2014</v>
      </c>
      <c r="M262" s="96">
        <v>374626</v>
      </c>
      <c r="N262" s="100">
        <v>41087</v>
      </c>
      <c r="O262" s="100">
        <v>41087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1425062</v>
      </c>
      <c r="E263" s="99">
        <v>2</v>
      </c>
      <c r="F263" s="99"/>
      <c r="G263" s="99">
        <v>2</v>
      </c>
      <c r="H263" s="99" t="s">
        <v>96</v>
      </c>
      <c r="I263" s="99"/>
      <c r="J263" s="99" t="s">
        <v>97</v>
      </c>
      <c r="K263" s="99" t="b">
        <v>1</v>
      </c>
      <c r="L263" s="95">
        <v>2020</v>
      </c>
      <c r="M263" s="96">
        <v>35241407</v>
      </c>
      <c r="N263" s="100">
        <v>41087</v>
      </c>
      <c r="O263" s="100">
        <v>41087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1425062</v>
      </c>
      <c r="E264" s="99">
        <v>2</v>
      </c>
      <c r="F264" s="99"/>
      <c r="G264" s="99">
        <v>8</v>
      </c>
      <c r="H264" s="99" t="s">
        <v>106</v>
      </c>
      <c r="I264" s="99"/>
      <c r="J264" s="99" t="s">
        <v>107</v>
      </c>
      <c r="K264" s="99" t="b">
        <v>0</v>
      </c>
      <c r="L264" s="95">
        <v>2013</v>
      </c>
      <c r="M264" s="96">
        <v>15133162</v>
      </c>
      <c r="N264" s="100">
        <v>41087</v>
      </c>
      <c r="O264" s="100">
        <v>41087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1425062</v>
      </c>
      <c r="E265" s="99">
        <v>2</v>
      </c>
      <c r="F265" s="99"/>
      <c r="G265" s="99">
        <v>6</v>
      </c>
      <c r="H265" s="99" t="s">
        <v>104</v>
      </c>
      <c r="I265" s="99"/>
      <c r="J265" s="99" t="s">
        <v>105</v>
      </c>
      <c r="K265" s="99" t="b">
        <v>1</v>
      </c>
      <c r="L265" s="95">
        <v>2015</v>
      </c>
      <c r="M265" s="96">
        <v>1515000</v>
      </c>
      <c r="N265" s="100">
        <v>41087</v>
      </c>
      <c r="O265" s="100">
        <v>41087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1425062</v>
      </c>
      <c r="E266" s="99">
        <v>2</v>
      </c>
      <c r="F266" s="99"/>
      <c r="G266" s="99">
        <v>46</v>
      </c>
      <c r="H266" s="99">
        <v>21</v>
      </c>
      <c r="I266" s="99" t="s">
        <v>259</v>
      </c>
      <c r="J266" s="99" t="s">
        <v>54</v>
      </c>
      <c r="K266" s="99" t="b">
        <v>1</v>
      </c>
      <c r="L266" s="95">
        <v>2018</v>
      </c>
      <c r="M266" s="96">
        <v>0.0649</v>
      </c>
      <c r="N266" s="100">
        <v>41087</v>
      </c>
      <c r="O266" s="100">
        <v>41087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1425062</v>
      </c>
      <c r="E267" s="99">
        <v>2</v>
      </c>
      <c r="F267" s="99"/>
      <c r="G267" s="99">
        <v>45</v>
      </c>
      <c r="H267" s="99" t="s">
        <v>148</v>
      </c>
      <c r="I267" s="99" t="s">
        <v>245</v>
      </c>
      <c r="J267" s="99" t="s">
        <v>53</v>
      </c>
      <c r="K267" s="99" t="b">
        <v>0</v>
      </c>
      <c r="L267" s="95">
        <v>2016</v>
      </c>
      <c r="M267" s="96">
        <v>0.0636</v>
      </c>
      <c r="N267" s="100">
        <v>41087</v>
      </c>
      <c r="O267" s="100">
        <v>41087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1425062</v>
      </c>
      <c r="E268" s="99">
        <v>2</v>
      </c>
      <c r="F268" s="99"/>
      <c r="G268" s="99">
        <v>20</v>
      </c>
      <c r="H268" s="99">
        <v>7</v>
      </c>
      <c r="I268" s="99" t="s">
        <v>255</v>
      </c>
      <c r="J268" s="99" t="s">
        <v>12</v>
      </c>
      <c r="K268" s="99" t="b">
        <v>1</v>
      </c>
      <c r="L268" s="95">
        <v>2022</v>
      </c>
      <c r="M268" s="96">
        <v>1813635</v>
      </c>
      <c r="N268" s="100">
        <v>41087</v>
      </c>
      <c r="O268" s="100">
        <v>41087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1425062</v>
      </c>
      <c r="E269" s="99">
        <v>2</v>
      </c>
      <c r="F269" s="99"/>
      <c r="G269" s="99">
        <v>45</v>
      </c>
      <c r="H269" s="99" t="s">
        <v>148</v>
      </c>
      <c r="I269" s="99" t="s">
        <v>245</v>
      </c>
      <c r="J269" s="99" t="s">
        <v>53</v>
      </c>
      <c r="K269" s="99" t="b">
        <v>0</v>
      </c>
      <c r="L269" s="95">
        <v>2015</v>
      </c>
      <c r="M269" s="96">
        <v>0.062</v>
      </c>
      <c r="N269" s="100">
        <v>41087</v>
      </c>
      <c r="O269" s="100">
        <v>41087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1425062</v>
      </c>
      <c r="E270" s="99">
        <v>2</v>
      </c>
      <c r="F270" s="99"/>
      <c r="G270" s="99">
        <v>24</v>
      </c>
      <c r="H270" s="99" t="s">
        <v>130</v>
      </c>
      <c r="I270" s="99"/>
      <c r="J270" s="99" t="s">
        <v>131</v>
      </c>
      <c r="K270" s="99" t="b">
        <v>1</v>
      </c>
      <c r="L270" s="95">
        <v>2015</v>
      </c>
      <c r="M270" s="96">
        <v>530000</v>
      </c>
      <c r="N270" s="100">
        <v>41087</v>
      </c>
      <c r="O270" s="100">
        <v>41087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1425062</v>
      </c>
      <c r="E271" s="99">
        <v>2</v>
      </c>
      <c r="F271" s="99"/>
      <c r="G271" s="99">
        <v>43</v>
      </c>
      <c r="H271" s="99" t="s">
        <v>146</v>
      </c>
      <c r="I271" s="99" t="s">
        <v>252</v>
      </c>
      <c r="J271" s="99" t="s">
        <v>76</v>
      </c>
      <c r="K271" s="99" t="b">
        <v>0</v>
      </c>
      <c r="L271" s="95">
        <v>2021</v>
      </c>
      <c r="M271" s="96">
        <v>0.0728</v>
      </c>
      <c r="N271" s="100">
        <v>41087</v>
      </c>
      <c r="O271" s="100">
        <v>41087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1425062</v>
      </c>
      <c r="E272" s="99">
        <v>2</v>
      </c>
      <c r="F272" s="99"/>
      <c r="G272" s="99">
        <v>27</v>
      </c>
      <c r="H272" s="99">
        <v>10</v>
      </c>
      <c r="I272" s="99"/>
      <c r="J272" s="99" t="s">
        <v>18</v>
      </c>
      <c r="K272" s="99" t="b">
        <v>0</v>
      </c>
      <c r="L272" s="95">
        <v>2017</v>
      </c>
      <c r="M272" s="96">
        <v>931238</v>
      </c>
      <c r="N272" s="100">
        <v>41087</v>
      </c>
      <c r="O272" s="100">
        <v>41087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1425062</v>
      </c>
      <c r="E273" s="99">
        <v>2</v>
      </c>
      <c r="F273" s="99"/>
      <c r="G273" s="99">
        <v>33</v>
      </c>
      <c r="H273" s="99">
        <v>13</v>
      </c>
      <c r="I273" s="99"/>
      <c r="J273" s="99" t="s">
        <v>68</v>
      </c>
      <c r="K273" s="99" t="b">
        <v>1</v>
      </c>
      <c r="L273" s="95">
        <v>2021</v>
      </c>
      <c r="M273" s="96">
        <v>1693635</v>
      </c>
      <c r="N273" s="100">
        <v>41087</v>
      </c>
      <c r="O273" s="100">
        <v>41087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1425062</v>
      </c>
      <c r="E274" s="99">
        <v>2</v>
      </c>
      <c r="F274" s="99"/>
      <c r="G274" s="99">
        <v>19</v>
      </c>
      <c r="H274" s="99">
        <v>6</v>
      </c>
      <c r="I274" s="99" t="s">
        <v>244</v>
      </c>
      <c r="J274" s="99" t="s">
        <v>123</v>
      </c>
      <c r="K274" s="99" t="b">
        <v>0</v>
      </c>
      <c r="L274" s="95">
        <v>2014</v>
      </c>
      <c r="M274" s="96">
        <v>4052626</v>
      </c>
      <c r="N274" s="100">
        <v>41087</v>
      </c>
      <c r="O274" s="100">
        <v>41087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1425062</v>
      </c>
      <c r="E275" s="99">
        <v>2</v>
      </c>
      <c r="F275" s="99"/>
      <c r="G275" s="99">
        <v>47</v>
      </c>
      <c r="H275" s="99" t="s">
        <v>149</v>
      </c>
      <c r="I275" s="99" t="s">
        <v>257</v>
      </c>
      <c r="J275" s="99" t="s">
        <v>78</v>
      </c>
      <c r="K275" s="99" t="b">
        <v>0</v>
      </c>
      <c r="L275" s="95">
        <v>2022</v>
      </c>
      <c r="M275" s="96">
        <v>349</v>
      </c>
      <c r="N275" s="100">
        <v>41087</v>
      </c>
      <c r="O275" s="100">
        <v>41087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1425062</v>
      </c>
      <c r="E276" s="99">
        <v>2</v>
      </c>
      <c r="F276" s="99"/>
      <c r="G276" s="99">
        <v>7</v>
      </c>
      <c r="H276" s="99">
        <v>2</v>
      </c>
      <c r="I276" s="99"/>
      <c r="J276" s="99" t="s">
        <v>3</v>
      </c>
      <c r="K276" s="99" t="b">
        <v>1</v>
      </c>
      <c r="L276" s="95">
        <v>2012</v>
      </c>
      <c r="M276" s="96">
        <v>26000608.29</v>
      </c>
      <c r="N276" s="100">
        <v>41087</v>
      </c>
      <c r="O276" s="100">
        <v>41087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1425062</v>
      </c>
      <c r="E277" s="99">
        <v>2</v>
      </c>
      <c r="F277" s="99"/>
      <c r="G277" s="99">
        <v>46</v>
      </c>
      <c r="H277" s="99">
        <v>21</v>
      </c>
      <c r="I277" s="99" t="s">
        <v>259</v>
      </c>
      <c r="J277" s="99" t="s">
        <v>54</v>
      </c>
      <c r="K277" s="99" t="b">
        <v>1</v>
      </c>
      <c r="L277" s="95">
        <v>2021</v>
      </c>
      <c r="M277" s="96">
        <v>0.0728</v>
      </c>
      <c r="N277" s="100">
        <v>41087</v>
      </c>
      <c r="O277" s="100">
        <v>41087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1425062</v>
      </c>
      <c r="E278" s="99">
        <v>2</v>
      </c>
      <c r="F278" s="99"/>
      <c r="G278" s="99">
        <v>54</v>
      </c>
      <c r="H278" s="99">
        <v>27</v>
      </c>
      <c r="I278" s="99" t="s">
        <v>250</v>
      </c>
      <c r="J278" s="99" t="s">
        <v>46</v>
      </c>
      <c r="K278" s="99" t="b">
        <v>0</v>
      </c>
      <c r="L278" s="95">
        <v>2018</v>
      </c>
      <c r="M278" s="96">
        <v>31928223</v>
      </c>
      <c r="N278" s="100">
        <v>41087</v>
      </c>
      <c r="O278" s="100">
        <v>41087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1425062</v>
      </c>
      <c r="E279" s="99">
        <v>2</v>
      </c>
      <c r="F279" s="99"/>
      <c r="G279" s="99">
        <v>43</v>
      </c>
      <c r="H279" s="99" t="s">
        <v>146</v>
      </c>
      <c r="I279" s="99" t="s">
        <v>252</v>
      </c>
      <c r="J279" s="99" t="s">
        <v>76</v>
      </c>
      <c r="K279" s="99" t="b">
        <v>0</v>
      </c>
      <c r="L279" s="95">
        <v>2017</v>
      </c>
      <c r="M279" s="96">
        <v>0.062</v>
      </c>
      <c r="N279" s="100">
        <v>41087</v>
      </c>
      <c r="O279" s="100">
        <v>41087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1425062</v>
      </c>
      <c r="E280" s="99">
        <v>2</v>
      </c>
      <c r="F280" s="99"/>
      <c r="G280" s="99">
        <v>9</v>
      </c>
      <c r="H280" s="99" t="s">
        <v>108</v>
      </c>
      <c r="I280" s="99"/>
      <c r="J280" s="99" t="s">
        <v>109</v>
      </c>
      <c r="K280" s="99" t="b">
        <v>0</v>
      </c>
      <c r="L280" s="95">
        <v>2021</v>
      </c>
      <c r="M280" s="96">
        <v>3691248</v>
      </c>
      <c r="N280" s="100">
        <v>41087</v>
      </c>
      <c r="O280" s="100">
        <v>41087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1425062</v>
      </c>
      <c r="E281" s="99">
        <v>2</v>
      </c>
      <c r="F281" s="99"/>
      <c r="G281" s="99">
        <v>41</v>
      </c>
      <c r="H281" s="99" t="s">
        <v>145</v>
      </c>
      <c r="I281" s="99" t="s">
        <v>256</v>
      </c>
      <c r="J281" s="99" t="s">
        <v>73</v>
      </c>
      <c r="K281" s="99" t="b">
        <v>0</v>
      </c>
      <c r="L281" s="95">
        <v>2012</v>
      </c>
      <c r="M281" s="96">
        <v>0.3999</v>
      </c>
      <c r="N281" s="100">
        <v>41087</v>
      </c>
      <c r="O281" s="100">
        <v>41087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1425062</v>
      </c>
      <c r="E282" s="99">
        <v>2</v>
      </c>
      <c r="F282" s="99"/>
      <c r="G282" s="99">
        <v>54</v>
      </c>
      <c r="H282" s="99">
        <v>27</v>
      </c>
      <c r="I282" s="99" t="s">
        <v>250</v>
      </c>
      <c r="J282" s="99" t="s">
        <v>46</v>
      </c>
      <c r="K282" s="99" t="b">
        <v>0</v>
      </c>
      <c r="L282" s="95">
        <v>2016</v>
      </c>
      <c r="M282" s="96">
        <v>33160491</v>
      </c>
      <c r="N282" s="100">
        <v>41087</v>
      </c>
      <c r="O282" s="100">
        <v>41087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1425062</v>
      </c>
      <c r="E283" s="99">
        <v>2</v>
      </c>
      <c r="F283" s="99"/>
      <c r="G283" s="99">
        <v>7</v>
      </c>
      <c r="H283" s="99">
        <v>2</v>
      </c>
      <c r="I283" s="99"/>
      <c r="J283" s="99" t="s">
        <v>3</v>
      </c>
      <c r="K283" s="99" t="b">
        <v>1</v>
      </c>
      <c r="L283" s="95">
        <v>2013</v>
      </c>
      <c r="M283" s="96">
        <v>26865233</v>
      </c>
      <c r="N283" s="100">
        <v>41087</v>
      </c>
      <c r="O283" s="100">
        <v>41087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1425062</v>
      </c>
      <c r="E284" s="99">
        <v>2</v>
      </c>
      <c r="F284" s="99"/>
      <c r="G284" s="99">
        <v>1</v>
      </c>
      <c r="H284" s="99">
        <v>1</v>
      </c>
      <c r="I284" s="99" t="s">
        <v>253</v>
      </c>
      <c r="J284" s="99" t="s">
        <v>95</v>
      </c>
      <c r="K284" s="99" t="b">
        <v>1</v>
      </c>
      <c r="L284" s="95">
        <v>2018</v>
      </c>
      <c r="M284" s="96">
        <v>33878223</v>
      </c>
      <c r="N284" s="100">
        <v>41087</v>
      </c>
      <c r="O284" s="100">
        <v>41087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1425062</v>
      </c>
      <c r="E285" s="99">
        <v>2</v>
      </c>
      <c r="F285" s="99"/>
      <c r="G285" s="99">
        <v>46</v>
      </c>
      <c r="H285" s="99">
        <v>21</v>
      </c>
      <c r="I285" s="99" t="s">
        <v>259</v>
      </c>
      <c r="J285" s="99" t="s">
        <v>54</v>
      </c>
      <c r="K285" s="99" t="b">
        <v>1</v>
      </c>
      <c r="L285" s="95">
        <v>2019</v>
      </c>
      <c r="M285" s="96">
        <v>0.0734</v>
      </c>
      <c r="N285" s="100">
        <v>41087</v>
      </c>
      <c r="O285" s="100">
        <v>41087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1425062</v>
      </c>
      <c r="E286" s="99">
        <v>2</v>
      </c>
      <c r="F286" s="99"/>
      <c r="G286" s="99">
        <v>14</v>
      </c>
      <c r="H286" s="99">
        <v>3</v>
      </c>
      <c r="I286" s="99" t="s">
        <v>247</v>
      </c>
      <c r="J286" s="99" t="s">
        <v>118</v>
      </c>
      <c r="K286" s="99" t="b">
        <v>1</v>
      </c>
      <c r="L286" s="95">
        <v>2012</v>
      </c>
      <c r="M286" s="96">
        <v>5778280</v>
      </c>
      <c r="N286" s="100">
        <v>41087</v>
      </c>
      <c r="O286" s="100">
        <v>41087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1425062</v>
      </c>
      <c r="E287" s="99">
        <v>2</v>
      </c>
      <c r="F287" s="99"/>
      <c r="G287" s="99">
        <v>57</v>
      </c>
      <c r="H287" s="99">
        <v>30</v>
      </c>
      <c r="I287" s="99" t="s">
        <v>251</v>
      </c>
      <c r="J287" s="99" t="s">
        <v>155</v>
      </c>
      <c r="K287" s="99" t="b">
        <v>0</v>
      </c>
      <c r="L287" s="95">
        <v>2021</v>
      </c>
      <c r="M287" s="96">
        <v>2566576</v>
      </c>
      <c r="N287" s="100">
        <v>41087</v>
      </c>
      <c r="O287" s="100">
        <v>41087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1425062</v>
      </c>
      <c r="E288" s="99">
        <v>2</v>
      </c>
      <c r="F288" s="99"/>
      <c r="G288" s="99">
        <v>54</v>
      </c>
      <c r="H288" s="99">
        <v>27</v>
      </c>
      <c r="I288" s="99" t="s">
        <v>250</v>
      </c>
      <c r="J288" s="99" t="s">
        <v>46</v>
      </c>
      <c r="K288" s="99" t="b">
        <v>0</v>
      </c>
      <c r="L288" s="95">
        <v>2022</v>
      </c>
      <c r="M288" s="96">
        <v>36436603</v>
      </c>
      <c r="N288" s="100">
        <v>41087</v>
      </c>
      <c r="O288" s="100">
        <v>41087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1425062</v>
      </c>
      <c r="E289" s="99">
        <v>2</v>
      </c>
      <c r="F289" s="99"/>
      <c r="G289" s="99">
        <v>1</v>
      </c>
      <c r="H289" s="99">
        <v>1</v>
      </c>
      <c r="I289" s="99" t="s">
        <v>253</v>
      </c>
      <c r="J289" s="99" t="s">
        <v>95</v>
      </c>
      <c r="K289" s="99" t="b">
        <v>1</v>
      </c>
      <c r="L289" s="95">
        <v>2022</v>
      </c>
      <c r="M289" s="96">
        <v>38130238</v>
      </c>
      <c r="N289" s="100">
        <v>41087</v>
      </c>
      <c r="O289" s="100">
        <v>41087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1425062</v>
      </c>
      <c r="E290" s="99">
        <v>2</v>
      </c>
      <c r="F290" s="99"/>
      <c r="G290" s="99">
        <v>21</v>
      </c>
      <c r="H290" s="99" t="s">
        <v>124</v>
      </c>
      <c r="I290" s="99"/>
      <c r="J290" s="99" t="s">
        <v>125</v>
      </c>
      <c r="K290" s="99" t="b">
        <v>1</v>
      </c>
      <c r="L290" s="95">
        <v>2012</v>
      </c>
      <c r="M290" s="96">
        <v>3160952</v>
      </c>
      <c r="N290" s="100">
        <v>41087</v>
      </c>
      <c r="O290" s="100">
        <v>41087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1425062</v>
      </c>
      <c r="E291" s="99">
        <v>2</v>
      </c>
      <c r="F291" s="99"/>
      <c r="G291" s="99">
        <v>53</v>
      </c>
      <c r="H291" s="99">
        <v>26</v>
      </c>
      <c r="I291" s="99" t="s">
        <v>242</v>
      </c>
      <c r="J291" s="99" t="s">
        <v>153</v>
      </c>
      <c r="K291" s="99" t="b">
        <v>1</v>
      </c>
      <c r="L291" s="95">
        <v>2017</v>
      </c>
      <c r="M291" s="96">
        <v>32991479</v>
      </c>
      <c r="N291" s="100">
        <v>41087</v>
      </c>
      <c r="O291" s="100">
        <v>41087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1425062</v>
      </c>
      <c r="E292" s="99">
        <v>2</v>
      </c>
      <c r="F292" s="99"/>
      <c r="G292" s="99">
        <v>7</v>
      </c>
      <c r="H292" s="99">
        <v>2</v>
      </c>
      <c r="I292" s="99"/>
      <c r="J292" s="99" t="s">
        <v>3</v>
      </c>
      <c r="K292" s="99" t="b">
        <v>1</v>
      </c>
      <c r="L292" s="95">
        <v>2015</v>
      </c>
      <c r="M292" s="96">
        <v>28496008</v>
      </c>
      <c r="N292" s="100">
        <v>41087</v>
      </c>
      <c r="O292" s="100">
        <v>41087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1425062</v>
      </c>
      <c r="E293" s="99">
        <v>2</v>
      </c>
      <c r="F293" s="99"/>
      <c r="G293" s="99">
        <v>26</v>
      </c>
      <c r="H293" s="99">
        <v>9</v>
      </c>
      <c r="I293" s="99" t="s">
        <v>239</v>
      </c>
      <c r="J293" s="99" t="s">
        <v>133</v>
      </c>
      <c r="K293" s="99" t="b">
        <v>0</v>
      </c>
      <c r="L293" s="95">
        <v>2019</v>
      </c>
      <c r="M293" s="96">
        <v>842279</v>
      </c>
      <c r="N293" s="100">
        <v>41087</v>
      </c>
      <c r="O293" s="100">
        <v>41087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1425062</v>
      </c>
      <c r="E294" s="99">
        <v>2</v>
      </c>
      <c r="F294" s="99"/>
      <c r="G294" s="99">
        <v>27</v>
      </c>
      <c r="H294" s="99">
        <v>10</v>
      </c>
      <c r="I294" s="99"/>
      <c r="J294" s="99" t="s">
        <v>18</v>
      </c>
      <c r="K294" s="99" t="b">
        <v>0</v>
      </c>
      <c r="L294" s="95">
        <v>2020</v>
      </c>
      <c r="M294" s="96">
        <v>1610059</v>
      </c>
      <c r="N294" s="100">
        <v>41087</v>
      </c>
      <c r="O294" s="100">
        <v>41087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1425062</v>
      </c>
      <c r="E295" s="99">
        <v>2</v>
      </c>
      <c r="F295" s="99"/>
      <c r="G295" s="99">
        <v>7</v>
      </c>
      <c r="H295" s="99">
        <v>2</v>
      </c>
      <c r="I295" s="99"/>
      <c r="J295" s="99" t="s">
        <v>3</v>
      </c>
      <c r="K295" s="99" t="b">
        <v>1</v>
      </c>
      <c r="L295" s="95">
        <v>2020</v>
      </c>
      <c r="M295" s="96">
        <v>32914948</v>
      </c>
      <c r="N295" s="100">
        <v>41087</v>
      </c>
      <c r="O295" s="100">
        <v>41087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1425062</v>
      </c>
      <c r="E296" s="99">
        <v>2</v>
      </c>
      <c r="F296" s="99"/>
      <c r="G296" s="99">
        <v>19</v>
      </c>
      <c r="H296" s="99">
        <v>6</v>
      </c>
      <c r="I296" s="99" t="s">
        <v>244</v>
      </c>
      <c r="J296" s="99" t="s">
        <v>123</v>
      </c>
      <c r="K296" s="99" t="b">
        <v>0</v>
      </c>
      <c r="L296" s="95">
        <v>2015</v>
      </c>
      <c r="M296" s="96">
        <v>4019266</v>
      </c>
      <c r="N296" s="100">
        <v>41087</v>
      </c>
      <c r="O296" s="100">
        <v>41087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1425062</v>
      </c>
      <c r="E297" s="99">
        <v>2</v>
      </c>
      <c r="F297" s="99"/>
      <c r="G297" s="99">
        <v>49</v>
      </c>
      <c r="H297" s="99" t="s">
        <v>150</v>
      </c>
      <c r="I297" s="99" t="s">
        <v>248</v>
      </c>
      <c r="J297" s="99" t="s">
        <v>81</v>
      </c>
      <c r="K297" s="99" t="b">
        <v>0</v>
      </c>
      <c r="L297" s="95">
        <v>2016</v>
      </c>
      <c r="M297" s="96">
        <v>44</v>
      </c>
      <c r="N297" s="100">
        <v>41087</v>
      </c>
      <c r="O297" s="100">
        <v>41087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1425062</v>
      </c>
      <c r="E298" s="99">
        <v>2</v>
      </c>
      <c r="F298" s="99"/>
      <c r="G298" s="99">
        <v>21</v>
      </c>
      <c r="H298" s="99" t="s">
        <v>124</v>
      </c>
      <c r="I298" s="99"/>
      <c r="J298" s="99" t="s">
        <v>125</v>
      </c>
      <c r="K298" s="99" t="b">
        <v>1</v>
      </c>
      <c r="L298" s="95">
        <v>2017</v>
      </c>
      <c r="M298" s="96">
        <v>1694000</v>
      </c>
      <c r="N298" s="100">
        <v>41087</v>
      </c>
      <c r="O298" s="100">
        <v>41087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1425062</v>
      </c>
      <c r="E299" s="99">
        <v>2</v>
      </c>
      <c r="F299" s="99"/>
      <c r="G299" s="99">
        <v>51</v>
      </c>
      <c r="H299" s="99">
        <v>24</v>
      </c>
      <c r="I299" s="99" t="s">
        <v>260</v>
      </c>
      <c r="J299" s="99" t="s">
        <v>152</v>
      </c>
      <c r="K299" s="99" t="b">
        <v>1</v>
      </c>
      <c r="L299" s="95">
        <v>2021</v>
      </c>
      <c r="M299" s="96">
        <v>33556802</v>
      </c>
      <c r="N299" s="100">
        <v>41087</v>
      </c>
      <c r="O299" s="100">
        <v>41087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1425062</v>
      </c>
      <c r="E300" s="99">
        <v>2</v>
      </c>
      <c r="F300" s="99"/>
      <c r="G300" s="99">
        <v>24</v>
      </c>
      <c r="H300" s="99" t="s">
        <v>130</v>
      </c>
      <c r="I300" s="99"/>
      <c r="J300" s="99" t="s">
        <v>131</v>
      </c>
      <c r="K300" s="99" t="b">
        <v>1</v>
      </c>
      <c r="L300" s="95">
        <v>2017</v>
      </c>
      <c r="M300" s="96">
        <v>350000</v>
      </c>
      <c r="N300" s="100">
        <v>41087</v>
      </c>
      <c r="O300" s="100">
        <v>41087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1425062</v>
      </c>
      <c r="E301" s="99">
        <v>2</v>
      </c>
      <c r="F301" s="99"/>
      <c r="G301" s="99">
        <v>46</v>
      </c>
      <c r="H301" s="99">
        <v>21</v>
      </c>
      <c r="I301" s="99" t="s">
        <v>259</v>
      </c>
      <c r="J301" s="99" t="s">
        <v>54</v>
      </c>
      <c r="K301" s="99" t="b">
        <v>1</v>
      </c>
      <c r="L301" s="95">
        <v>2015</v>
      </c>
      <c r="M301" s="96">
        <v>0.0593</v>
      </c>
      <c r="N301" s="100">
        <v>41087</v>
      </c>
      <c r="O301" s="100">
        <v>41087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1425062</v>
      </c>
      <c r="E302" s="99">
        <v>2</v>
      </c>
      <c r="F302" s="99"/>
      <c r="G302" s="99">
        <v>33</v>
      </c>
      <c r="H302" s="99">
        <v>13</v>
      </c>
      <c r="I302" s="99"/>
      <c r="J302" s="99" t="s">
        <v>68</v>
      </c>
      <c r="K302" s="99" t="b">
        <v>1</v>
      </c>
      <c r="L302" s="95">
        <v>2018</v>
      </c>
      <c r="M302" s="96">
        <v>7210211</v>
      </c>
      <c r="N302" s="100">
        <v>41087</v>
      </c>
      <c r="O302" s="100">
        <v>41087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1425062</v>
      </c>
      <c r="E303" s="99">
        <v>2</v>
      </c>
      <c r="F303" s="99"/>
      <c r="G303" s="99">
        <v>12</v>
      </c>
      <c r="H303" s="99" t="s">
        <v>114</v>
      </c>
      <c r="I303" s="99"/>
      <c r="J303" s="99" t="s">
        <v>115</v>
      </c>
      <c r="K303" s="99" t="b">
        <v>0</v>
      </c>
      <c r="L303" s="95">
        <v>2012</v>
      </c>
      <c r="M303" s="96">
        <v>1244420</v>
      </c>
      <c r="N303" s="100">
        <v>41087</v>
      </c>
      <c r="O303" s="100">
        <v>41087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1425062</v>
      </c>
      <c r="E304" s="99">
        <v>2</v>
      </c>
      <c r="F304" s="99"/>
      <c r="G304" s="99">
        <v>26</v>
      </c>
      <c r="H304" s="99">
        <v>9</v>
      </c>
      <c r="I304" s="99" t="s">
        <v>239</v>
      </c>
      <c r="J304" s="99" t="s">
        <v>133</v>
      </c>
      <c r="K304" s="99" t="b">
        <v>0</v>
      </c>
      <c r="L304" s="95">
        <v>2015</v>
      </c>
      <c r="M304" s="96">
        <v>2082366</v>
      </c>
      <c r="N304" s="100">
        <v>41087</v>
      </c>
      <c r="O304" s="100">
        <v>41087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1425062</v>
      </c>
      <c r="E305" s="99">
        <v>2</v>
      </c>
      <c r="F305" s="99"/>
      <c r="G305" s="99">
        <v>7</v>
      </c>
      <c r="H305" s="99">
        <v>2</v>
      </c>
      <c r="I305" s="99"/>
      <c r="J305" s="99" t="s">
        <v>3</v>
      </c>
      <c r="K305" s="99" t="b">
        <v>1</v>
      </c>
      <c r="L305" s="95">
        <v>2022</v>
      </c>
      <c r="M305" s="96">
        <v>34208608</v>
      </c>
      <c r="N305" s="100">
        <v>41087</v>
      </c>
      <c r="O305" s="100">
        <v>41087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1425062</v>
      </c>
      <c r="E306" s="99">
        <v>2</v>
      </c>
      <c r="F306" s="99"/>
      <c r="G306" s="99">
        <v>48</v>
      </c>
      <c r="H306" s="99">
        <v>22</v>
      </c>
      <c r="I306" s="99" t="s">
        <v>238</v>
      </c>
      <c r="J306" s="99" t="s">
        <v>79</v>
      </c>
      <c r="K306" s="99" t="b">
        <v>0</v>
      </c>
      <c r="L306" s="95">
        <v>2017</v>
      </c>
      <c r="M306" s="96">
        <v>0.062</v>
      </c>
      <c r="N306" s="100">
        <v>41087</v>
      </c>
      <c r="O306" s="100">
        <v>41087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1425062</v>
      </c>
      <c r="E307" s="99">
        <v>2</v>
      </c>
      <c r="F307" s="99"/>
      <c r="G307" s="99">
        <v>7</v>
      </c>
      <c r="H307" s="99">
        <v>2</v>
      </c>
      <c r="I307" s="99"/>
      <c r="J307" s="99" t="s">
        <v>3</v>
      </c>
      <c r="K307" s="99" t="b">
        <v>1</v>
      </c>
      <c r="L307" s="95">
        <v>2017</v>
      </c>
      <c r="M307" s="96">
        <v>30016241</v>
      </c>
      <c r="N307" s="100">
        <v>41087</v>
      </c>
      <c r="O307" s="100">
        <v>41087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1425062</v>
      </c>
      <c r="E308" s="99">
        <v>2</v>
      </c>
      <c r="F308" s="99"/>
      <c r="G308" s="99">
        <v>2</v>
      </c>
      <c r="H308" s="99" t="s">
        <v>96</v>
      </c>
      <c r="I308" s="99"/>
      <c r="J308" s="99" t="s">
        <v>97</v>
      </c>
      <c r="K308" s="99" t="b">
        <v>1</v>
      </c>
      <c r="L308" s="95">
        <v>2015</v>
      </c>
      <c r="M308" s="96">
        <v>31000274</v>
      </c>
      <c r="N308" s="100">
        <v>41087</v>
      </c>
      <c r="O308" s="100">
        <v>41087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1425062</v>
      </c>
      <c r="E309" s="99">
        <v>2</v>
      </c>
      <c r="F309" s="99"/>
      <c r="G309" s="99">
        <v>46</v>
      </c>
      <c r="H309" s="99">
        <v>21</v>
      </c>
      <c r="I309" s="99" t="s">
        <v>259</v>
      </c>
      <c r="J309" s="99" t="s">
        <v>54</v>
      </c>
      <c r="K309" s="99" t="b">
        <v>1</v>
      </c>
      <c r="L309" s="95">
        <v>2012</v>
      </c>
      <c r="M309" s="96">
        <v>0.1183</v>
      </c>
      <c r="N309" s="100">
        <v>41087</v>
      </c>
      <c r="O309" s="100">
        <v>41087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1425062</v>
      </c>
      <c r="E310" s="99">
        <v>2</v>
      </c>
      <c r="F310" s="99"/>
      <c r="G310" s="99">
        <v>50</v>
      </c>
      <c r="H310" s="99">
        <v>23</v>
      </c>
      <c r="I310" s="99" t="s">
        <v>254</v>
      </c>
      <c r="J310" s="99" t="s">
        <v>151</v>
      </c>
      <c r="K310" s="99" t="b">
        <v>1</v>
      </c>
      <c r="L310" s="95">
        <v>2017</v>
      </c>
      <c r="M310" s="96">
        <v>32991479</v>
      </c>
      <c r="N310" s="100">
        <v>41087</v>
      </c>
      <c r="O310" s="100">
        <v>41087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1425062</v>
      </c>
      <c r="E311" s="99">
        <v>2</v>
      </c>
      <c r="F311" s="99"/>
      <c r="G311" s="99">
        <v>44</v>
      </c>
      <c r="H311" s="99">
        <v>20</v>
      </c>
      <c r="I311" s="99" t="s">
        <v>241</v>
      </c>
      <c r="J311" s="99" t="s">
        <v>147</v>
      </c>
      <c r="K311" s="99" t="b">
        <v>1</v>
      </c>
      <c r="L311" s="95">
        <v>2013</v>
      </c>
      <c r="M311" s="96">
        <v>0.0698</v>
      </c>
      <c r="N311" s="100">
        <v>41087</v>
      </c>
      <c r="O311" s="100">
        <v>41087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1425062</v>
      </c>
      <c r="E312" s="99">
        <v>2</v>
      </c>
      <c r="F312" s="99"/>
      <c r="G312" s="99">
        <v>29</v>
      </c>
      <c r="H312" s="99" t="s">
        <v>136</v>
      </c>
      <c r="I312" s="99"/>
      <c r="J312" s="99" t="s">
        <v>117</v>
      </c>
      <c r="K312" s="99" t="b">
        <v>0</v>
      </c>
      <c r="L312" s="95">
        <v>2013</v>
      </c>
      <c r="M312" s="96">
        <v>2900000</v>
      </c>
      <c r="N312" s="100">
        <v>41087</v>
      </c>
      <c r="O312" s="100">
        <v>41087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1425062</v>
      </c>
      <c r="E313" s="99">
        <v>2</v>
      </c>
      <c r="F313" s="99"/>
      <c r="G313" s="99">
        <v>57</v>
      </c>
      <c r="H313" s="99">
        <v>30</v>
      </c>
      <c r="I313" s="99" t="s">
        <v>251</v>
      </c>
      <c r="J313" s="99" t="s">
        <v>155</v>
      </c>
      <c r="K313" s="99" t="b">
        <v>0</v>
      </c>
      <c r="L313" s="95">
        <v>2022</v>
      </c>
      <c r="M313" s="96">
        <v>1693635</v>
      </c>
      <c r="N313" s="100">
        <v>41087</v>
      </c>
      <c r="O313" s="100">
        <v>41087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1425062</v>
      </c>
      <c r="E314" s="99">
        <v>2</v>
      </c>
      <c r="F314" s="99"/>
      <c r="G314" s="99">
        <v>40</v>
      </c>
      <c r="H314" s="99">
        <v>18</v>
      </c>
      <c r="I314" s="99" t="s">
        <v>258</v>
      </c>
      <c r="J314" s="99" t="s">
        <v>71</v>
      </c>
      <c r="K314" s="99" t="b">
        <v>0</v>
      </c>
      <c r="L314" s="95">
        <v>2020</v>
      </c>
      <c r="M314" s="96">
        <v>0.1209</v>
      </c>
      <c r="N314" s="100">
        <v>41087</v>
      </c>
      <c r="O314" s="100">
        <v>41087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1425062</v>
      </c>
      <c r="E315" s="99">
        <v>2</v>
      </c>
      <c r="F315" s="99"/>
      <c r="G315" s="99">
        <v>42</v>
      </c>
      <c r="H315" s="99">
        <v>19</v>
      </c>
      <c r="I315" s="99" t="s">
        <v>249</v>
      </c>
      <c r="J315" s="99" t="s">
        <v>74</v>
      </c>
      <c r="K315" s="99" t="b">
        <v>1</v>
      </c>
      <c r="L315" s="95">
        <v>2021</v>
      </c>
      <c r="M315" s="96">
        <v>0.0728</v>
      </c>
      <c r="N315" s="100">
        <v>41087</v>
      </c>
      <c r="O315" s="100">
        <v>41087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1425062</v>
      </c>
      <c r="E316" s="99">
        <v>2</v>
      </c>
      <c r="F316" s="99"/>
      <c r="G316" s="99">
        <v>7</v>
      </c>
      <c r="H316" s="99">
        <v>2</v>
      </c>
      <c r="I316" s="99"/>
      <c r="J316" s="99" t="s">
        <v>3</v>
      </c>
      <c r="K316" s="99" t="b">
        <v>1</v>
      </c>
      <c r="L316" s="95">
        <v>2018</v>
      </c>
      <c r="M316" s="96">
        <v>30971747</v>
      </c>
      <c r="N316" s="100">
        <v>41087</v>
      </c>
      <c r="O316" s="100">
        <v>41087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1425062</v>
      </c>
      <c r="E317" s="99">
        <v>2</v>
      </c>
      <c r="F317" s="99"/>
      <c r="G317" s="99">
        <v>45</v>
      </c>
      <c r="H317" s="99" t="s">
        <v>148</v>
      </c>
      <c r="I317" s="99" t="s">
        <v>245</v>
      </c>
      <c r="J317" s="99" t="s">
        <v>53</v>
      </c>
      <c r="K317" s="99" t="b">
        <v>0</v>
      </c>
      <c r="L317" s="95">
        <v>2022</v>
      </c>
      <c r="M317" s="96">
        <v>0.0825</v>
      </c>
      <c r="N317" s="100">
        <v>41087</v>
      </c>
      <c r="O317" s="100">
        <v>41087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1425062</v>
      </c>
      <c r="E318" s="99">
        <v>2</v>
      </c>
      <c r="F318" s="99"/>
      <c r="G318" s="99">
        <v>48</v>
      </c>
      <c r="H318" s="99">
        <v>22</v>
      </c>
      <c r="I318" s="99" t="s">
        <v>238</v>
      </c>
      <c r="J318" s="99" t="s">
        <v>79</v>
      </c>
      <c r="K318" s="99" t="b">
        <v>0</v>
      </c>
      <c r="L318" s="95">
        <v>2019</v>
      </c>
      <c r="M318" s="96">
        <v>0.0734</v>
      </c>
      <c r="N318" s="100">
        <v>41087</v>
      </c>
      <c r="O318" s="100">
        <v>41087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1425062</v>
      </c>
      <c r="E319" s="99">
        <v>2</v>
      </c>
      <c r="F319" s="99"/>
      <c r="G319" s="99">
        <v>7</v>
      </c>
      <c r="H319" s="99">
        <v>2</v>
      </c>
      <c r="I319" s="99"/>
      <c r="J319" s="99" t="s">
        <v>3</v>
      </c>
      <c r="K319" s="99" t="b">
        <v>1</v>
      </c>
      <c r="L319" s="95">
        <v>2021</v>
      </c>
      <c r="M319" s="96">
        <v>33426802</v>
      </c>
      <c r="N319" s="100">
        <v>41087</v>
      </c>
      <c r="O319" s="100">
        <v>41087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1425062</v>
      </c>
      <c r="E320" s="99">
        <v>2</v>
      </c>
      <c r="F320" s="99"/>
      <c r="G320" s="99">
        <v>1</v>
      </c>
      <c r="H320" s="99">
        <v>1</v>
      </c>
      <c r="I320" s="99" t="s">
        <v>253</v>
      </c>
      <c r="J320" s="99" t="s">
        <v>95</v>
      </c>
      <c r="K320" s="99" t="b">
        <v>1</v>
      </c>
      <c r="L320" s="95">
        <v>2016</v>
      </c>
      <c r="M320" s="96">
        <v>33598788</v>
      </c>
      <c r="N320" s="100">
        <v>41087</v>
      </c>
      <c r="O320" s="100">
        <v>41087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1425062</v>
      </c>
      <c r="E321" s="99">
        <v>2</v>
      </c>
      <c r="F321" s="99"/>
      <c r="G321" s="99">
        <v>37</v>
      </c>
      <c r="H321" s="99">
        <v>16</v>
      </c>
      <c r="I321" s="99"/>
      <c r="J321" s="99" t="s">
        <v>142</v>
      </c>
      <c r="K321" s="99" t="b">
        <v>1</v>
      </c>
      <c r="L321" s="95">
        <v>2021</v>
      </c>
      <c r="M321" s="96">
        <v>2566576</v>
      </c>
      <c r="N321" s="100">
        <v>41087</v>
      </c>
      <c r="O321" s="100">
        <v>41087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1425062</v>
      </c>
      <c r="E322" s="99">
        <v>2</v>
      </c>
      <c r="F322" s="99"/>
      <c r="G322" s="99">
        <v>37</v>
      </c>
      <c r="H322" s="99">
        <v>16</v>
      </c>
      <c r="I322" s="99"/>
      <c r="J322" s="99" t="s">
        <v>142</v>
      </c>
      <c r="K322" s="99" t="b">
        <v>1</v>
      </c>
      <c r="L322" s="95">
        <v>2014</v>
      </c>
      <c r="M322" s="96">
        <v>374626</v>
      </c>
      <c r="N322" s="100">
        <v>41087</v>
      </c>
      <c r="O322" s="100">
        <v>41087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1425062</v>
      </c>
      <c r="E323" s="99">
        <v>2</v>
      </c>
      <c r="F323" s="99"/>
      <c r="G323" s="99">
        <v>47</v>
      </c>
      <c r="H323" s="99" t="s">
        <v>149</v>
      </c>
      <c r="I323" s="99" t="s">
        <v>257</v>
      </c>
      <c r="J323" s="99" t="s">
        <v>78</v>
      </c>
      <c r="K323" s="99" t="b">
        <v>0</v>
      </c>
      <c r="L323" s="95">
        <v>2021</v>
      </c>
      <c r="M323" s="96">
        <v>47</v>
      </c>
      <c r="N323" s="100">
        <v>41087</v>
      </c>
      <c r="O323" s="100">
        <v>41087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1425062</v>
      </c>
      <c r="E324" s="99">
        <v>2</v>
      </c>
      <c r="F324" s="99"/>
      <c r="G324" s="99">
        <v>49</v>
      </c>
      <c r="H324" s="99" t="s">
        <v>150</v>
      </c>
      <c r="I324" s="99" t="s">
        <v>248</v>
      </c>
      <c r="J324" s="99" t="s">
        <v>81</v>
      </c>
      <c r="K324" s="99" t="b">
        <v>0</v>
      </c>
      <c r="L324" s="95">
        <v>2017</v>
      </c>
      <c r="M324" s="96">
        <v>1</v>
      </c>
      <c r="N324" s="100">
        <v>41087</v>
      </c>
      <c r="O324" s="100">
        <v>41087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1425062</v>
      </c>
      <c r="E325" s="99">
        <v>2</v>
      </c>
      <c r="F325" s="99"/>
      <c r="G325" s="99">
        <v>2</v>
      </c>
      <c r="H325" s="99" t="s">
        <v>96</v>
      </c>
      <c r="I325" s="99"/>
      <c r="J325" s="99" t="s">
        <v>97</v>
      </c>
      <c r="K325" s="99" t="b">
        <v>1</v>
      </c>
      <c r="L325" s="95">
        <v>2021</v>
      </c>
      <c r="M325" s="96">
        <v>37019649</v>
      </c>
      <c r="N325" s="100">
        <v>41087</v>
      </c>
      <c r="O325" s="100">
        <v>41087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1425062</v>
      </c>
      <c r="E326" s="99">
        <v>2</v>
      </c>
      <c r="F326" s="99"/>
      <c r="G326" s="99">
        <v>1</v>
      </c>
      <c r="H326" s="99">
        <v>1</v>
      </c>
      <c r="I326" s="99" t="s">
        <v>253</v>
      </c>
      <c r="J326" s="99" t="s">
        <v>95</v>
      </c>
      <c r="K326" s="99" t="b">
        <v>1</v>
      </c>
      <c r="L326" s="95">
        <v>2017</v>
      </c>
      <c r="M326" s="96">
        <v>32991479</v>
      </c>
      <c r="N326" s="100">
        <v>41087</v>
      </c>
      <c r="O326" s="100">
        <v>41087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1425062</v>
      </c>
      <c r="E327" s="99">
        <v>2</v>
      </c>
      <c r="F327" s="99"/>
      <c r="G327" s="99">
        <v>49</v>
      </c>
      <c r="H327" s="99" t="s">
        <v>150</v>
      </c>
      <c r="I327" s="99" t="s">
        <v>248</v>
      </c>
      <c r="J327" s="99" t="s">
        <v>81</v>
      </c>
      <c r="K327" s="99" t="b">
        <v>0</v>
      </c>
      <c r="L327" s="95">
        <v>2012</v>
      </c>
      <c r="M327" s="96">
        <v>-252</v>
      </c>
      <c r="N327" s="100">
        <v>41087</v>
      </c>
      <c r="O327" s="100">
        <v>41087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1425062</v>
      </c>
      <c r="E328" s="99">
        <v>2</v>
      </c>
      <c r="F328" s="99"/>
      <c r="G328" s="99">
        <v>56</v>
      </c>
      <c r="H328" s="99">
        <v>29</v>
      </c>
      <c r="I328" s="99" t="s">
        <v>246</v>
      </c>
      <c r="J328" s="99" t="s">
        <v>154</v>
      </c>
      <c r="K328" s="99" t="b">
        <v>0</v>
      </c>
      <c r="L328" s="95">
        <v>2016</v>
      </c>
      <c r="M328" s="96">
        <v>1061703</v>
      </c>
      <c r="N328" s="100">
        <v>41087</v>
      </c>
      <c r="O328" s="100">
        <v>41087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1425062</v>
      </c>
      <c r="E329" s="99">
        <v>2</v>
      </c>
      <c r="F329" s="99"/>
      <c r="G329" s="99">
        <v>56</v>
      </c>
      <c r="H329" s="99">
        <v>29</v>
      </c>
      <c r="I329" s="99" t="s">
        <v>246</v>
      </c>
      <c r="J329" s="99" t="s">
        <v>154</v>
      </c>
      <c r="K329" s="99" t="b">
        <v>0</v>
      </c>
      <c r="L329" s="95">
        <v>2015</v>
      </c>
      <c r="M329" s="96">
        <v>985634</v>
      </c>
      <c r="N329" s="100">
        <v>41087</v>
      </c>
      <c r="O329" s="100">
        <v>41087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1425062</v>
      </c>
      <c r="E330" s="99">
        <v>2</v>
      </c>
      <c r="F330" s="99"/>
      <c r="G330" s="99">
        <v>51</v>
      </c>
      <c r="H330" s="99">
        <v>24</v>
      </c>
      <c r="I330" s="99" t="s">
        <v>260</v>
      </c>
      <c r="J330" s="99" t="s">
        <v>152</v>
      </c>
      <c r="K330" s="99" t="b">
        <v>1</v>
      </c>
      <c r="L330" s="95">
        <v>2018</v>
      </c>
      <c r="M330" s="96">
        <v>31221747</v>
      </c>
      <c r="N330" s="100">
        <v>41087</v>
      </c>
      <c r="O330" s="100">
        <v>41087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1425062</v>
      </c>
      <c r="E331" s="99">
        <v>2</v>
      </c>
      <c r="F331" s="99"/>
      <c r="G331" s="99">
        <v>20</v>
      </c>
      <c r="H331" s="99">
        <v>7</v>
      </c>
      <c r="I331" s="99" t="s">
        <v>255</v>
      </c>
      <c r="J331" s="99" t="s">
        <v>12</v>
      </c>
      <c r="K331" s="99" t="b">
        <v>1</v>
      </c>
      <c r="L331" s="95">
        <v>2019</v>
      </c>
      <c r="M331" s="96">
        <v>2570000</v>
      </c>
      <c r="N331" s="100">
        <v>41087</v>
      </c>
      <c r="O331" s="100">
        <v>41087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1425062</v>
      </c>
      <c r="E332" s="99">
        <v>2</v>
      </c>
      <c r="F332" s="99"/>
      <c r="G332" s="99">
        <v>24</v>
      </c>
      <c r="H332" s="99" t="s">
        <v>130</v>
      </c>
      <c r="I332" s="99"/>
      <c r="J332" s="99" t="s">
        <v>131</v>
      </c>
      <c r="K332" s="99" t="b">
        <v>1</v>
      </c>
      <c r="L332" s="95">
        <v>2022</v>
      </c>
      <c r="M332" s="96">
        <v>120000</v>
      </c>
      <c r="N332" s="100">
        <v>41087</v>
      </c>
      <c r="O332" s="100">
        <v>41087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1425062</v>
      </c>
      <c r="E333" s="99">
        <v>2</v>
      </c>
      <c r="F333" s="99"/>
      <c r="G333" s="99">
        <v>26</v>
      </c>
      <c r="H333" s="99">
        <v>9</v>
      </c>
      <c r="I333" s="99" t="s">
        <v>239</v>
      </c>
      <c r="J333" s="99" t="s">
        <v>133</v>
      </c>
      <c r="K333" s="99" t="b">
        <v>0</v>
      </c>
      <c r="L333" s="95">
        <v>2016</v>
      </c>
      <c r="M333" s="96">
        <v>2310444</v>
      </c>
      <c r="N333" s="100">
        <v>41087</v>
      </c>
      <c r="O333" s="100">
        <v>41087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1425062</v>
      </c>
      <c r="E334" s="99">
        <v>2</v>
      </c>
      <c r="F334" s="99"/>
      <c r="G334" s="99">
        <v>33</v>
      </c>
      <c r="H334" s="99">
        <v>13</v>
      </c>
      <c r="I334" s="99"/>
      <c r="J334" s="99" t="s">
        <v>68</v>
      </c>
      <c r="K334" s="99" t="b">
        <v>1</v>
      </c>
      <c r="L334" s="95">
        <v>2013</v>
      </c>
      <c r="M334" s="96">
        <v>12078400</v>
      </c>
      <c r="N334" s="100">
        <v>41087</v>
      </c>
      <c r="O334" s="100">
        <v>41087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1425062</v>
      </c>
      <c r="E335" s="99">
        <v>2</v>
      </c>
      <c r="F335" s="99"/>
      <c r="G335" s="99">
        <v>14</v>
      </c>
      <c r="H335" s="99">
        <v>3</v>
      </c>
      <c r="I335" s="99" t="s">
        <v>247</v>
      </c>
      <c r="J335" s="99" t="s">
        <v>118</v>
      </c>
      <c r="K335" s="99" t="b">
        <v>1</v>
      </c>
      <c r="L335" s="95">
        <v>2022</v>
      </c>
      <c r="M335" s="96">
        <v>3921630</v>
      </c>
      <c r="N335" s="100">
        <v>41087</v>
      </c>
      <c r="O335" s="100">
        <v>41087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1425062</v>
      </c>
      <c r="E336" s="99">
        <v>2</v>
      </c>
      <c r="F336" s="99"/>
      <c r="G336" s="99">
        <v>57</v>
      </c>
      <c r="H336" s="99">
        <v>30</v>
      </c>
      <c r="I336" s="99" t="s">
        <v>251</v>
      </c>
      <c r="J336" s="99" t="s">
        <v>155</v>
      </c>
      <c r="K336" s="99" t="b">
        <v>0</v>
      </c>
      <c r="L336" s="95">
        <v>2016</v>
      </c>
      <c r="M336" s="96">
        <v>1500000</v>
      </c>
      <c r="N336" s="100">
        <v>41087</v>
      </c>
      <c r="O336" s="100">
        <v>41087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1425062</v>
      </c>
      <c r="E337" s="99">
        <v>2</v>
      </c>
      <c r="F337" s="99"/>
      <c r="G337" s="99">
        <v>26</v>
      </c>
      <c r="H337" s="99">
        <v>9</v>
      </c>
      <c r="I337" s="99" t="s">
        <v>239</v>
      </c>
      <c r="J337" s="99" t="s">
        <v>133</v>
      </c>
      <c r="K337" s="99" t="b">
        <v>0</v>
      </c>
      <c r="L337" s="95">
        <v>2013</v>
      </c>
      <c r="M337" s="96">
        <v>28000</v>
      </c>
      <c r="N337" s="100">
        <v>41087</v>
      </c>
      <c r="O337" s="100">
        <v>41087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1425062</v>
      </c>
      <c r="E338" s="99">
        <v>2</v>
      </c>
      <c r="F338" s="99"/>
      <c r="G338" s="99">
        <v>8</v>
      </c>
      <c r="H338" s="99" t="s">
        <v>106</v>
      </c>
      <c r="I338" s="99"/>
      <c r="J338" s="99" t="s">
        <v>107</v>
      </c>
      <c r="K338" s="99" t="b">
        <v>0</v>
      </c>
      <c r="L338" s="95">
        <v>2018</v>
      </c>
      <c r="M338" s="96">
        <v>17272644</v>
      </c>
      <c r="N338" s="100">
        <v>41087</v>
      </c>
      <c r="O338" s="100">
        <v>41087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1425062</v>
      </c>
      <c r="E339" s="99">
        <v>2</v>
      </c>
      <c r="F339" s="99"/>
      <c r="G339" s="99">
        <v>7</v>
      </c>
      <c r="H339" s="99">
        <v>2</v>
      </c>
      <c r="I339" s="99"/>
      <c r="J339" s="99" t="s">
        <v>3</v>
      </c>
      <c r="K339" s="99" t="b">
        <v>1</v>
      </c>
      <c r="L339" s="95">
        <v>2016</v>
      </c>
      <c r="M339" s="96">
        <v>29288344</v>
      </c>
      <c r="N339" s="100">
        <v>41087</v>
      </c>
      <c r="O339" s="100">
        <v>41087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1425062</v>
      </c>
      <c r="E340" s="99">
        <v>2</v>
      </c>
      <c r="F340" s="99"/>
      <c r="G340" s="99">
        <v>55</v>
      </c>
      <c r="H340" s="99">
        <v>28</v>
      </c>
      <c r="I340" s="99" t="s">
        <v>243</v>
      </c>
      <c r="J340" s="99" t="s">
        <v>48</v>
      </c>
      <c r="K340" s="99" t="b">
        <v>0</v>
      </c>
      <c r="L340" s="95">
        <v>2018</v>
      </c>
      <c r="M340" s="96">
        <v>1950000</v>
      </c>
      <c r="N340" s="100">
        <v>41087</v>
      </c>
      <c r="O340" s="100">
        <v>41087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1425062</v>
      </c>
      <c r="E341" s="99">
        <v>2</v>
      </c>
      <c r="F341" s="99"/>
      <c r="G341" s="99">
        <v>46</v>
      </c>
      <c r="H341" s="99">
        <v>21</v>
      </c>
      <c r="I341" s="99" t="s">
        <v>259</v>
      </c>
      <c r="J341" s="99" t="s">
        <v>54</v>
      </c>
      <c r="K341" s="99" t="b">
        <v>1</v>
      </c>
      <c r="L341" s="95">
        <v>2016</v>
      </c>
      <c r="M341" s="96">
        <v>0.0592</v>
      </c>
      <c r="N341" s="100">
        <v>41087</v>
      </c>
      <c r="O341" s="100">
        <v>41087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1425062</v>
      </c>
      <c r="E342" s="99">
        <v>2</v>
      </c>
      <c r="F342" s="99"/>
      <c r="G342" s="99">
        <v>24</v>
      </c>
      <c r="H342" s="99" t="s">
        <v>130</v>
      </c>
      <c r="I342" s="99"/>
      <c r="J342" s="99" t="s">
        <v>131</v>
      </c>
      <c r="K342" s="99" t="b">
        <v>1</v>
      </c>
      <c r="L342" s="95">
        <v>2019</v>
      </c>
      <c r="M342" s="96">
        <v>120000</v>
      </c>
      <c r="N342" s="100">
        <v>41087</v>
      </c>
      <c r="O342" s="100">
        <v>41087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1425062</v>
      </c>
      <c r="E343" s="99">
        <v>2</v>
      </c>
      <c r="F343" s="99"/>
      <c r="G343" s="99">
        <v>21</v>
      </c>
      <c r="H343" s="99" t="s">
        <v>124</v>
      </c>
      <c r="I343" s="99"/>
      <c r="J343" s="99" t="s">
        <v>125</v>
      </c>
      <c r="K343" s="99" t="b">
        <v>1</v>
      </c>
      <c r="L343" s="95">
        <v>2020</v>
      </c>
      <c r="M343" s="96">
        <v>500000</v>
      </c>
      <c r="N343" s="100">
        <v>41087</v>
      </c>
      <c r="O343" s="100">
        <v>41087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1425062</v>
      </c>
      <c r="E344" s="99">
        <v>2</v>
      </c>
      <c r="F344" s="99"/>
      <c r="G344" s="99">
        <v>41</v>
      </c>
      <c r="H344" s="99" t="s">
        <v>145</v>
      </c>
      <c r="I344" s="99" t="s">
        <v>256</v>
      </c>
      <c r="J344" s="99" t="s">
        <v>73</v>
      </c>
      <c r="K344" s="99" t="b">
        <v>0</v>
      </c>
      <c r="L344" s="95">
        <v>2020</v>
      </c>
      <c r="M344" s="96">
        <v>0.1209</v>
      </c>
      <c r="N344" s="100">
        <v>41087</v>
      </c>
      <c r="O344" s="100">
        <v>41087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1425062</v>
      </c>
      <c r="E345" s="99">
        <v>2</v>
      </c>
      <c r="F345" s="99"/>
      <c r="G345" s="99">
        <v>6</v>
      </c>
      <c r="H345" s="99" t="s">
        <v>104</v>
      </c>
      <c r="I345" s="99"/>
      <c r="J345" s="99" t="s">
        <v>105</v>
      </c>
      <c r="K345" s="99" t="b">
        <v>1</v>
      </c>
      <c r="L345" s="95">
        <v>2012</v>
      </c>
      <c r="M345" s="96">
        <v>1772800</v>
      </c>
      <c r="N345" s="100">
        <v>41087</v>
      </c>
      <c r="O345" s="100">
        <v>41087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1425062</v>
      </c>
      <c r="E346" s="99">
        <v>2</v>
      </c>
      <c r="F346" s="99"/>
      <c r="G346" s="99">
        <v>44</v>
      </c>
      <c r="H346" s="99">
        <v>20</v>
      </c>
      <c r="I346" s="99" t="s">
        <v>241</v>
      </c>
      <c r="J346" s="99" t="s">
        <v>147</v>
      </c>
      <c r="K346" s="99" t="b">
        <v>1</v>
      </c>
      <c r="L346" s="95">
        <v>2014</v>
      </c>
      <c r="M346" s="96">
        <v>0.0606</v>
      </c>
      <c r="N346" s="100">
        <v>41087</v>
      </c>
      <c r="O346" s="100">
        <v>41087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1425062</v>
      </c>
      <c r="E347" s="99">
        <v>2</v>
      </c>
      <c r="F347" s="99"/>
      <c r="G347" s="99">
        <v>41</v>
      </c>
      <c r="H347" s="99" t="s">
        <v>145</v>
      </c>
      <c r="I347" s="99" t="s">
        <v>256</v>
      </c>
      <c r="J347" s="99" t="s">
        <v>73</v>
      </c>
      <c r="K347" s="99" t="b">
        <v>0</v>
      </c>
      <c r="L347" s="95">
        <v>2014</v>
      </c>
      <c r="M347" s="96">
        <v>0.3681</v>
      </c>
      <c r="N347" s="100">
        <v>41087</v>
      </c>
      <c r="O347" s="100">
        <v>41087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1425062</v>
      </c>
      <c r="E348" s="99">
        <v>2</v>
      </c>
      <c r="F348" s="99"/>
      <c r="G348" s="99">
        <v>30</v>
      </c>
      <c r="H348" s="99">
        <v>11</v>
      </c>
      <c r="I348" s="99"/>
      <c r="J348" s="99" t="s">
        <v>64</v>
      </c>
      <c r="K348" s="99" t="b">
        <v>1</v>
      </c>
      <c r="L348" s="95">
        <v>2016</v>
      </c>
      <c r="M348" s="96">
        <v>1061703</v>
      </c>
      <c r="N348" s="100">
        <v>41087</v>
      </c>
      <c r="O348" s="100">
        <v>41087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1425062</v>
      </c>
      <c r="E349" s="99">
        <v>2</v>
      </c>
      <c r="F349" s="99"/>
      <c r="G349" s="99">
        <v>7</v>
      </c>
      <c r="H349" s="99">
        <v>2</v>
      </c>
      <c r="I349" s="99"/>
      <c r="J349" s="99" t="s">
        <v>3</v>
      </c>
      <c r="K349" s="99" t="b">
        <v>1</v>
      </c>
      <c r="L349" s="95">
        <v>2019</v>
      </c>
      <c r="M349" s="96">
        <v>31582291</v>
      </c>
      <c r="N349" s="100">
        <v>41087</v>
      </c>
      <c r="O349" s="100">
        <v>41087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1425062</v>
      </c>
      <c r="E350" s="99">
        <v>2</v>
      </c>
      <c r="F350" s="99"/>
      <c r="G350" s="99">
        <v>20</v>
      </c>
      <c r="H350" s="99">
        <v>7</v>
      </c>
      <c r="I350" s="99" t="s">
        <v>255</v>
      </c>
      <c r="J350" s="99" t="s">
        <v>12</v>
      </c>
      <c r="K350" s="99" t="b">
        <v>1</v>
      </c>
      <c r="L350" s="95">
        <v>2017</v>
      </c>
      <c r="M350" s="96">
        <v>2044000</v>
      </c>
      <c r="N350" s="100">
        <v>41087</v>
      </c>
      <c r="O350" s="100">
        <v>41087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1425062</v>
      </c>
      <c r="E351" s="99">
        <v>2</v>
      </c>
      <c r="F351" s="99"/>
      <c r="G351" s="99">
        <v>8</v>
      </c>
      <c r="H351" s="99" t="s">
        <v>106</v>
      </c>
      <c r="I351" s="99"/>
      <c r="J351" s="99" t="s">
        <v>107</v>
      </c>
      <c r="K351" s="99" t="b">
        <v>0</v>
      </c>
      <c r="L351" s="95">
        <v>2015</v>
      </c>
      <c r="M351" s="96">
        <v>15961385</v>
      </c>
      <c r="N351" s="100">
        <v>41087</v>
      </c>
      <c r="O351" s="100">
        <v>41087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1425062</v>
      </c>
      <c r="E352" s="99">
        <v>2</v>
      </c>
      <c r="F352" s="99"/>
      <c r="G352" s="99">
        <v>52</v>
      </c>
      <c r="H352" s="99">
        <v>25</v>
      </c>
      <c r="I352" s="99" t="s">
        <v>240</v>
      </c>
      <c r="J352" s="99" t="s">
        <v>49</v>
      </c>
      <c r="K352" s="99" t="b">
        <v>1</v>
      </c>
      <c r="L352" s="95">
        <v>2014</v>
      </c>
      <c r="M352" s="96">
        <v>1927626</v>
      </c>
      <c r="N352" s="100">
        <v>41087</v>
      </c>
      <c r="O352" s="100">
        <v>41087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1425062</v>
      </c>
      <c r="E353" s="99">
        <v>2</v>
      </c>
      <c r="F353" s="99"/>
      <c r="G353" s="99">
        <v>49</v>
      </c>
      <c r="H353" s="99" t="s">
        <v>150</v>
      </c>
      <c r="I353" s="99" t="s">
        <v>248</v>
      </c>
      <c r="J353" s="99" t="s">
        <v>81</v>
      </c>
      <c r="K353" s="99" t="b">
        <v>0</v>
      </c>
      <c r="L353" s="95">
        <v>2020</v>
      </c>
      <c r="M353" s="96">
        <v>637</v>
      </c>
      <c r="N353" s="100">
        <v>41087</v>
      </c>
      <c r="O353" s="100">
        <v>41087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1425062</v>
      </c>
      <c r="E354" s="99">
        <v>2</v>
      </c>
      <c r="F354" s="99"/>
      <c r="G354" s="99">
        <v>26</v>
      </c>
      <c r="H354" s="99">
        <v>9</v>
      </c>
      <c r="I354" s="99" t="s">
        <v>239</v>
      </c>
      <c r="J354" s="99" t="s">
        <v>133</v>
      </c>
      <c r="K354" s="99" t="b">
        <v>0</v>
      </c>
      <c r="L354" s="95">
        <v>2021</v>
      </c>
      <c r="M354" s="96">
        <v>896271</v>
      </c>
      <c r="N354" s="100">
        <v>41087</v>
      </c>
      <c r="O354" s="100">
        <v>41087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1425062</v>
      </c>
      <c r="E355" s="99">
        <v>2</v>
      </c>
      <c r="F355" s="99"/>
      <c r="G355" s="99">
        <v>14</v>
      </c>
      <c r="H355" s="99">
        <v>3</v>
      </c>
      <c r="I355" s="99" t="s">
        <v>247</v>
      </c>
      <c r="J355" s="99" t="s">
        <v>118</v>
      </c>
      <c r="K355" s="99" t="b">
        <v>1</v>
      </c>
      <c r="L355" s="95">
        <v>2019</v>
      </c>
      <c r="M355" s="96">
        <v>3412279</v>
      </c>
      <c r="N355" s="100">
        <v>41087</v>
      </c>
      <c r="O355" s="100">
        <v>41087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1425062</v>
      </c>
      <c r="E356" s="99">
        <v>2</v>
      </c>
      <c r="F356" s="99"/>
      <c r="G356" s="99">
        <v>21</v>
      </c>
      <c r="H356" s="99" t="s">
        <v>124</v>
      </c>
      <c r="I356" s="99"/>
      <c r="J356" s="99" t="s">
        <v>125</v>
      </c>
      <c r="K356" s="99" t="b">
        <v>1</v>
      </c>
      <c r="L356" s="95">
        <v>2015</v>
      </c>
      <c r="M356" s="96">
        <v>1396900</v>
      </c>
      <c r="N356" s="100">
        <v>41087</v>
      </c>
      <c r="O356" s="100">
        <v>41087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1425062</v>
      </c>
      <c r="E357" s="99">
        <v>2</v>
      </c>
      <c r="F357" s="99"/>
      <c r="G357" s="99">
        <v>14</v>
      </c>
      <c r="H357" s="99">
        <v>3</v>
      </c>
      <c r="I357" s="99" t="s">
        <v>247</v>
      </c>
      <c r="J357" s="99" t="s">
        <v>118</v>
      </c>
      <c r="K357" s="99" t="b">
        <v>1</v>
      </c>
      <c r="L357" s="95">
        <v>2020</v>
      </c>
      <c r="M357" s="96">
        <v>2326459</v>
      </c>
      <c r="N357" s="100">
        <v>41087</v>
      </c>
      <c r="O357" s="100">
        <v>41087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1425062</v>
      </c>
      <c r="E358" s="99">
        <v>2</v>
      </c>
      <c r="F358" s="99"/>
      <c r="G358" s="99">
        <v>6</v>
      </c>
      <c r="H358" s="99" t="s">
        <v>104</v>
      </c>
      <c r="I358" s="99"/>
      <c r="J358" s="99" t="s">
        <v>105</v>
      </c>
      <c r="K358" s="99" t="b">
        <v>1</v>
      </c>
      <c r="L358" s="95">
        <v>2014</v>
      </c>
      <c r="M358" s="96">
        <v>1515000</v>
      </c>
      <c r="N358" s="100">
        <v>41087</v>
      </c>
      <c r="O358" s="100">
        <v>41087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1425062</v>
      </c>
      <c r="E359" s="99">
        <v>2</v>
      </c>
      <c r="F359" s="99"/>
      <c r="G359" s="99">
        <v>52</v>
      </c>
      <c r="H359" s="99">
        <v>25</v>
      </c>
      <c r="I359" s="99" t="s">
        <v>240</v>
      </c>
      <c r="J359" s="99" t="s">
        <v>49</v>
      </c>
      <c r="K359" s="99" t="b">
        <v>1</v>
      </c>
      <c r="L359" s="95">
        <v>2021</v>
      </c>
      <c r="M359" s="96">
        <v>3462847</v>
      </c>
      <c r="N359" s="100">
        <v>41087</v>
      </c>
      <c r="O359" s="100">
        <v>41087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1425062</v>
      </c>
      <c r="E360" s="99">
        <v>2</v>
      </c>
      <c r="F360" s="99"/>
      <c r="G360" s="99">
        <v>47</v>
      </c>
      <c r="H360" s="99" t="s">
        <v>149</v>
      </c>
      <c r="I360" s="99" t="s">
        <v>257</v>
      </c>
      <c r="J360" s="99" t="s">
        <v>78</v>
      </c>
      <c r="K360" s="99" t="b">
        <v>0</v>
      </c>
      <c r="L360" s="95">
        <v>2018</v>
      </c>
      <c r="M360" s="96">
        <v>35</v>
      </c>
      <c r="N360" s="100">
        <v>41087</v>
      </c>
      <c r="O360" s="100">
        <v>41087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1425062</v>
      </c>
      <c r="E361" s="99">
        <v>2</v>
      </c>
      <c r="F361" s="99"/>
      <c r="G361" s="99">
        <v>1</v>
      </c>
      <c r="H361" s="99">
        <v>1</v>
      </c>
      <c r="I361" s="99" t="s">
        <v>253</v>
      </c>
      <c r="J361" s="99" t="s">
        <v>95</v>
      </c>
      <c r="K361" s="99" t="b">
        <v>1</v>
      </c>
      <c r="L361" s="95">
        <v>2012</v>
      </c>
      <c r="M361" s="96">
        <v>31778888.29</v>
      </c>
      <c r="N361" s="100">
        <v>41087</v>
      </c>
      <c r="O361" s="100">
        <v>41087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1425062</v>
      </c>
      <c r="E362" s="99">
        <v>2</v>
      </c>
      <c r="F362" s="99"/>
      <c r="G362" s="99">
        <v>3</v>
      </c>
      <c r="H362" s="99" t="s">
        <v>98</v>
      </c>
      <c r="I362" s="99"/>
      <c r="J362" s="99" t="s">
        <v>99</v>
      </c>
      <c r="K362" s="99" t="b">
        <v>1</v>
      </c>
      <c r="L362" s="95">
        <v>2012</v>
      </c>
      <c r="M362" s="96">
        <v>131940.9</v>
      </c>
      <c r="N362" s="100">
        <v>41087</v>
      </c>
      <c r="O362" s="100">
        <v>41087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1425062</v>
      </c>
      <c r="E363" s="99">
        <v>2</v>
      </c>
      <c r="F363" s="99"/>
      <c r="G363" s="99">
        <v>37</v>
      </c>
      <c r="H363" s="99">
        <v>16</v>
      </c>
      <c r="I363" s="99"/>
      <c r="J363" s="99" t="s">
        <v>142</v>
      </c>
      <c r="K363" s="99" t="b">
        <v>1</v>
      </c>
      <c r="L363" s="95">
        <v>2020</v>
      </c>
      <c r="M363" s="96">
        <v>500000</v>
      </c>
      <c r="N363" s="100">
        <v>41087</v>
      </c>
      <c r="O363" s="100">
        <v>41087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1425062</v>
      </c>
      <c r="E364" s="99">
        <v>2</v>
      </c>
      <c r="F364" s="99"/>
      <c r="G364" s="99">
        <v>45</v>
      </c>
      <c r="H364" s="99" t="s">
        <v>148</v>
      </c>
      <c r="I364" s="99" t="s">
        <v>245</v>
      </c>
      <c r="J364" s="99" t="s">
        <v>53</v>
      </c>
      <c r="K364" s="99" t="b">
        <v>0</v>
      </c>
      <c r="L364" s="95">
        <v>2019</v>
      </c>
      <c r="M364" s="96">
        <v>0.0744</v>
      </c>
      <c r="N364" s="100">
        <v>41087</v>
      </c>
      <c r="O364" s="100">
        <v>41087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1425062</v>
      </c>
      <c r="E365" s="99">
        <v>2</v>
      </c>
      <c r="F365" s="99"/>
      <c r="G365" s="99">
        <v>29</v>
      </c>
      <c r="H365" s="99" t="s">
        <v>136</v>
      </c>
      <c r="I365" s="99"/>
      <c r="J365" s="99" t="s">
        <v>117</v>
      </c>
      <c r="K365" s="99" t="b">
        <v>0</v>
      </c>
      <c r="L365" s="95">
        <v>2014</v>
      </c>
      <c r="M365" s="96">
        <v>2900000</v>
      </c>
      <c r="N365" s="100">
        <v>41087</v>
      </c>
      <c r="O365" s="100">
        <v>41087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1425062</v>
      </c>
      <c r="E366" s="99">
        <v>2</v>
      </c>
      <c r="F366" s="99"/>
      <c r="G366" s="99">
        <v>27</v>
      </c>
      <c r="H366" s="99">
        <v>10</v>
      </c>
      <c r="I366" s="99"/>
      <c r="J366" s="99" t="s">
        <v>18</v>
      </c>
      <c r="K366" s="99" t="b">
        <v>0</v>
      </c>
      <c r="L366" s="95">
        <v>2012</v>
      </c>
      <c r="M366" s="96">
        <v>5640728</v>
      </c>
      <c r="N366" s="100">
        <v>41087</v>
      </c>
      <c r="O366" s="100">
        <v>41087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1425062</v>
      </c>
      <c r="E367" s="99">
        <v>2</v>
      </c>
      <c r="F367" s="99"/>
      <c r="G367" s="99">
        <v>28</v>
      </c>
      <c r="H367" s="99" t="s">
        <v>134</v>
      </c>
      <c r="I367" s="99"/>
      <c r="J367" s="99" t="s">
        <v>135</v>
      </c>
      <c r="K367" s="99" t="b">
        <v>0</v>
      </c>
      <c r="L367" s="95">
        <v>2013</v>
      </c>
      <c r="M367" s="96">
        <v>3068000</v>
      </c>
      <c r="N367" s="100">
        <v>41087</v>
      </c>
      <c r="O367" s="100">
        <v>41087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1425062</v>
      </c>
      <c r="E368" s="99">
        <v>2</v>
      </c>
      <c r="F368" s="99"/>
      <c r="G368" s="99">
        <v>49</v>
      </c>
      <c r="H368" s="99" t="s">
        <v>150</v>
      </c>
      <c r="I368" s="99" t="s">
        <v>248</v>
      </c>
      <c r="J368" s="99" t="s">
        <v>81</v>
      </c>
      <c r="K368" s="99" t="b">
        <v>0</v>
      </c>
      <c r="L368" s="95">
        <v>2019</v>
      </c>
      <c r="M368" s="96">
        <v>10</v>
      </c>
      <c r="N368" s="100">
        <v>41087</v>
      </c>
      <c r="O368" s="100">
        <v>41087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1425062</v>
      </c>
      <c r="E369" s="99">
        <v>2</v>
      </c>
      <c r="F369" s="99"/>
      <c r="G369" s="99">
        <v>57</v>
      </c>
      <c r="H369" s="99">
        <v>30</v>
      </c>
      <c r="I369" s="99" t="s">
        <v>251</v>
      </c>
      <c r="J369" s="99" t="s">
        <v>155</v>
      </c>
      <c r="K369" s="99" t="b">
        <v>0</v>
      </c>
      <c r="L369" s="95">
        <v>2012</v>
      </c>
      <c r="M369" s="96">
        <v>3160952</v>
      </c>
      <c r="N369" s="100">
        <v>41087</v>
      </c>
      <c r="O369" s="100">
        <v>41087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1425062</v>
      </c>
      <c r="E370" s="99">
        <v>2</v>
      </c>
      <c r="F370" s="99"/>
      <c r="G370" s="99">
        <v>8</v>
      </c>
      <c r="H370" s="99" t="s">
        <v>106</v>
      </c>
      <c r="I370" s="99"/>
      <c r="J370" s="99" t="s">
        <v>107</v>
      </c>
      <c r="K370" s="99" t="b">
        <v>0</v>
      </c>
      <c r="L370" s="95">
        <v>2021</v>
      </c>
      <c r="M370" s="96">
        <v>18456241</v>
      </c>
      <c r="N370" s="100">
        <v>41087</v>
      </c>
      <c r="O370" s="100">
        <v>41087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1425062</v>
      </c>
      <c r="E371" s="99">
        <v>2</v>
      </c>
      <c r="F371" s="99"/>
      <c r="G371" s="99">
        <v>50</v>
      </c>
      <c r="H371" s="99">
        <v>23</v>
      </c>
      <c r="I371" s="99" t="s">
        <v>254</v>
      </c>
      <c r="J371" s="99" t="s">
        <v>151</v>
      </c>
      <c r="K371" s="99" t="b">
        <v>1</v>
      </c>
      <c r="L371" s="95">
        <v>2014</v>
      </c>
      <c r="M371" s="96">
        <v>30279363</v>
      </c>
      <c r="N371" s="100">
        <v>41087</v>
      </c>
      <c r="O371" s="100">
        <v>41087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1425062</v>
      </c>
      <c r="E372" s="99">
        <v>2</v>
      </c>
      <c r="F372" s="99"/>
      <c r="G372" s="99">
        <v>28</v>
      </c>
      <c r="H372" s="99" t="s">
        <v>134</v>
      </c>
      <c r="I372" s="99"/>
      <c r="J372" s="99" t="s">
        <v>135</v>
      </c>
      <c r="K372" s="99" t="b">
        <v>0</v>
      </c>
      <c r="L372" s="95">
        <v>2012</v>
      </c>
      <c r="M372" s="96">
        <v>3505000</v>
      </c>
      <c r="N372" s="100">
        <v>41087</v>
      </c>
      <c r="O372" s="100">
        <v>41087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1425062</v>
      </c>
      <c r="E373" s="99">
        <v>2</v>
      </c>
      <c r="F373" s="99"/>
      <c r="G373" s="99">
        <v>50</v>
      </c>
      <c r="H373" s="99">
        <v>23</v>
      </c>
      <c r="I373" s="99" t="s">
        <v>254</v>
      </c>
      <c r="J373" s="99" t="s">
        <v>151</v>
      </c>
      <c r="K373" s="99" t="b">
        <v>1</v>
      </c>
      <c r="L373" s="95">
        <v>2015</v>
      </c>
      <c r="M373" s="96">
        <v>31000274</v>
      </c>
      <c r="N373" s="100">
        <v>41087</v>
      </c>
      <c r="O373" s="100">
        <v>41087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1425062</v>
      </c>
      <c r="E374" s="99">
        <v>2</v>
      </c>
      <c r="F374" s="99"/>
      <c r="G374" s="99">
        <v>44</v>
      </c>
      <c r="H374" s="99">
        <v>20</v>
      </c>
      <c r="I374" s="99" t="s">
        <v>241</v>
      </c>
      <c r="J374" s="99" t="s">
        <v>147</v>
      </c>
      <c r="K374" s="99" t="b">
        <v>1</v>
      </c>
      <c r="L374" s="95">
        <v>2018</v>
      </c>
      <c r="M374" s="96">
        <v>0.0784</v>
      </c>
      <c r="N374" s="100">
        <v>41087</v>
      </c>
      <c r="O374" s="100">
        <v>41087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1425062</v>
      </c>
      <c r="E375" s="99">
        <v>2</v>
      </c>
      <c r="F375" s="99"/>
      <c r="G375" s="99">
        <v>8</v>
      </c>
      <c r="H375" s="99" t="s">
        <v>106</v>
      </c>
      <c r="I375" s="99"/>
      <c r="J375" s="99" t="s">
        <v>107</v>
      </c>
      <c r="K375" s="99" t="b">
        <v>0</v>
      </c>
      <c r="L375" s="95">
        <v>2017</v>
      </c>
      <c r="M375" s="96">
        <v>16834936</v>
      </c>
      <c r="N375" s="100">
        <v>41087</v>
      </c>
      <c r="O375" s="100">
        <v>41087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1425062</v>
      </c>
      <c r="E376" s="99">
        <v>2</v>
      </c>
      <c r="F376" s="99"/>
      <c r="G376" s="99">
        <v>2</v>
      </c>
      <c r="H376" s="99" t="s">
        <v>96</v>
      </c>
      <c r="I376" s="99"/>
      <c r="J376" s="99" t="s">
        <v>97</v>
      </c>
      <c r="K376" s="99" t="b">
        <v>1</v>
      </c>
      <c r="L376" s="95">
        <v>2012</v>
      </c>
      <c r="M376" s="96">
        <v>28407264.29</v>
      </c>
      <c r="N376" s="100">
        <v>41087</v>
      </c>
      <c r="O376" s="100">
        <v>41087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1425062</v>
      </c>
      <c r="E377" s="99">
        <v>2</v>
      </c>
      <c r="F377" s="99"/>
      <c r="G377" s="99">
        <v>23</v>
      </c>
      <c r="H377" s="99" t="s">
        <v>128</v>
      </c>
      <c r="I377" s="99"/>
      <c r="J377" s="99" t="s">
        <v>129</v>
      </c>
      <c r="K377" s="99" t="b">
        <v>1</v>
      </c>
      <c r="L377" s="95">
        <v>2015</v>
      </c>
      <c r="M377" s="96">
        <v>540000</v>
      </c>
      <c r="N377" s="100">
        <v>41087</v>
      </c>
      <c r="O377" s="100">
        <v>41087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1425062</v>
      </c>
      <c r="E378" s="99">
        <v>2</v>
      </c>
      <c r="F378" s="99"/>
      <c r="G378" s="99">
        <v>53</v>
      </c>
      <c r="H378" s="99">
        <v>26</v>
      </c>
      <c r="I378" s="99" t="s">
        <v>242</v>
      </c>
      <c r="J378" s="99" t="s">
        <v>153</v>
      </c>
      <c r="K378" s="99" t="b">
        <v>1</v>
      </c>
      <c r="L378" s="95">
        <v>2016</v>
      </c>
      <c r="M378" s="96">
        <v>33598788</v>
      </c>
      <c r="N378" s="100">
        <v>41087</v>
      </c>
      <c r="O378" s="100">
        <v>41087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1425062</v>
      </c>
      <c r="E379" s="99">
        <v>2</v>
      </c>
      <c r="F379" s="99"/>
      <c r="G379" s="99">
        <v>43</v>
      </c>
      <c r="H379" s="99" t="s">
        <v>146</v>
      </c>
      <c r="I379" s="99" t="s">
        <v>252</v>
      </c>
      <c r="J379" s="99" t="s">
        <v>76</v>
      </c>
      <c r="K379" s="99" t="b">
        <v>0</v>
      </c>
      <c r="L379" s="95">
        <v>2020</v>
      </c>
      <c r="M379" s="96">
        <v>0.0203</v>
      </c>
      <c r="N379" s="100">
        <v>41087</v>
      </c>
      <c r="O379" s="100">
        <v>41087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1425062</v>
      </c>
      <c r="E380" s="99">
        <v>2</v>
      </c>
      <c r="F380" s="99"/>
      <c r="G380" s="99">
        <v>50</v>
      </c>
      <c r="H380" s="99">
        <v>23</v>
      </c>
      <c r="I380" s="99" t="s">
        <v>254</v>
      </c>
      <c r="J380" s="99" t="s">
        <v>151</v>
      </c>
      <c r="K380" s="99" t="b">
        <v>1</v>
      </c>
      <c r="L380" s="95">
        <v>2021</v>
      </c>
      <c r="M380" s="96">
        <v>37019649</v>
      </c>
      <c r="N380" s="100">
        <v>41087</v>
      </c>
      <c r="O380" s="100">
        <v>41087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1425062</v>
      </c>
      <c r="E381" s="99">
        <v>2</v>
      </c>
      <c r="F381" s="99"/>
      <c r="G381" s="99">
        <v>20</v>
      </c>
      <c r="H381" s="99">
        <v>7</v>
      </c>
      <c r="I381" s="99" t="s">
        <v>255</v>
      </c>
      <c r="J381" s="99" t="s">
        <v>12</v>
      </c>
      <c r="K381" s="99" t="b">
        <v>1</v>
      </c>
      <c r="L381" s="95">
        <v>2016</v>
      </c>
      <c r="M381" s="96">
        <v>2000000</v>
      </c>
      <c r="N381" s="100">
        <v>41087</v>
      </c>
      <c r="O381" s="100">
        <v>41087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1425062</v>
      </c>
      <c r="E382" s="99">
        <v>2</v>
      </c>
      <c r="F382" s="99"/>
      <c r="G382" s="99">
        <v>51</v>
      </c>
      <c r="H382" s="99">
        <v>24</v>
      </c>
      <c r="I382" s="99" t="s">
        <v>260</v>
      </c>
      <c r="J382" s="99" t="s">
        <v>152</v>
      </c>
      <c r="K382" s="99" t="b">
        <v>1</v>
      </c>
      <c r="L382" s="95">
        <v>2013</v>
      </c>
      <c r="M382" s="96">
        <v>27585233</v>
      </c>
      <c r="N382" s="100">
        <v>41087</v>
      </c>
      <c r="O382" s="100">
        <v>41087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1425062</v>
      </c>
      <c r="E383" s="99">
        <v>2</v>
      </c>
      <c r="F383" s="99"/>
      <c r="G383" s="99">
        <v>4</v>
      </c>
      <c r="H383" s="99" t="s">
        <v>100</v>
      </c>
      <c r="I383" s="99"/>
      <c r="J383" s="99" t="s">
        <v>101</v>
      </c>
      <c r="K383" s="99" t="b">
        <v>1</v>
      </c>
      <c r="L383" s="95">
        <v>2012</v>
      </c>
      <c r="M383" s="96">
        <v>3371624</v>
      </c>
      <c r="N383" s="100">
        <v>41087</v>
      </c>
      <c r="O383" s="100">
        <v>41087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1425062</v>
      </c>
      <c r="E384" s="99">
        <v>2</v>
      </c>
      <c r="F384" s="99"/>
      <c r="G384" s="99">
        <v>57</v>
      </c>
      <c r="H384" s="99">
        <v>30</v>
      </c>
      <c r="I384" s="99" t="s">
        <v>251</v>
      </c>
      <c r="J384" s="99" t="s">
        <v>155</v>
      </c>
      <c r="K384" s="99" t="b">
        <v>0</v>
      </c>
      <c r="L384" s="95">
        <v>2015</v>
      </c>
      <c r="M384" s="96">
        <v>1396900</v>
      </c>
      <c r="N384" s="100">
        <v>41087</v>
      </c>
      <c r="O384" s="100">
        <v>41087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1425062</v>
      </c>
      <c r="E385" s="99">
        <v>2</v>
      </c>
      <c r="F385" s="99"/>
      <c r="G385" s="99">
        <v>51</v>
      </c>
      <c r="H385" s="99">
        <v>24</v>
      </c>
      <c r="I385" s="99" t="s">
        <v>260</v>
      </c>
      <c r="J385" s="99" t="s">
        <v>152</v>
      </c>
      <c r="K385" s="99" t="b">
        <v>1</v>
      </c>
      <c r="L385" s="95">
        <v>2017</v>
      </c>
      <c r="M385" s="96">
        <v>30366241</v>
      </c>
      <c r="N385" s="100">
        <v>41087</v>
      </c>
      <c r="O385" s="100">
        <v>41087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1425062</v>
      </c>
      <c r="E386" s="99">
        <v>2</v>
      </c>
      <c r="F386" s="99"/>
      <c r="G386" s="99">
        <v>24</v>
      </c>
      <c r="H386" s="99" t="s">
        <v>130</v>
      </c>
      <c r="I386" s="99"/>
      <c r="J386" s="99" t="s">
        <v>131</v>
      </c>
      <c r="K386" s="99" t="b">
        <v>1</v>
      </c>
      <c r="L386" s="95">
        <v>2013</v>
      </c>
      <c r="M386" s="96">
        <v>710000</v>
      </c>
      <c r="N386" s="100">
        <v>41087</v>
      </c>
      <c r="O386" s="100">
        <v>41087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1425062</v>
      </c>
      <c r="E387" s="99">
        <v>2</v>
      </c>
      <c r="F387" s="99"/>
      <c r="G387" s="99">
        <v>1</v>
      </c>
      <c r="H387" s="99">
        <v>1</v>
      </c>
      <c r="I387" s="99" t="s">
        <v>253</v>
      </c>
      <c r="J387" s="99" t="s">
        <v>95</v>
      </c>
      <c r="K387" s="99" t="b">
        <v>1</v>
      </c>
      <c r="L387" s="95">
        <v>2015</v>
      </c>
      <c r="M387" s="96">
        <v>32515274</v>
      </c>
      <c r="N387" s="100">
        <v>41087</v>
      </c>
      <c r="O387" s="100">
        <v>41087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1425062</v>
      </c>
      <c r="E388" s="99">
        <v>2</v>
      </c>
      <c r="F388" s="99"/>
      <c r="G388" s="99">
        <v>42</v>
      </c>
      <c r="H388" s="99">
        <v>19</v>
      </c>
      <c r="I388" s="99" t="s">
        <v>249</v>
      </c>
      <c r="J388" s="99" t="s">
        <v>74</v>
      </c>
      <c r="K388" s="99" t="b">
        <v>1</v>
      </c>
      <c r="L388" s="95">
        <v>2016</v>
      </c>
      <c r="M388" s="96">
        <v>0.0592</v>
      </c>
      <c r="N388" s="100">
        <v>41087</v>
      </c>
      <c r="O388" s="100">
        <v>41087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1425062</v>
      </c>
      <c r="E389" s="99">
        <v>2</v>
      </c>
      <c r="F389" s="99"/>
      <c r="G389" s="99">
        <v>30</v>
      </c>
      <c r="H389" s="99">
        <v>11</v>
      </c>
      <c r="I389" s="99"/>
      <c r="J389" s="99" t="s">
        <v>64</v>
      </c>
      <c r="K389" s="99" t="b">
        <v>1</v>
      </c>
      <c r="L389" s="95">
        <v>2012</v>
      </c>
      <c r="M389" s="96">
        <v>3659400</v>
      </c>
      <c r="N389" s="100">
        <v>41087</v>
      </c>
      <c r="O389" s="100">
        <v>41087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1425062</v>
      </c>
      <c r="E390" s="99">
        <v>2</v>
      </c>
      <c r="F390" s="99"/>
      <c r="G390" s="99">
        <v>45</v>
      </c>
      <c r="H390" s="99" t="s">
        <v>148</v>
      </c>
      <c r="I390" s="99" t="s">
        <v>245</v>
      </c>
      <c r="J390" s="99" t="s">
        <v>53</v>
      </c>
      <c r="K390" s="99" t="b">
        <v>0</v>
      </c>
      <c r="L390" s="95">
        <v>2021</v>
      </c>
      <c r="M390" s="96">
        <v>0.0775</v>
      </c>
      <c r="N390" s="100">
        <v>41087</v>
      </c>
      <c r="O390" s="100">
        <v>41087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1425062</v>
      </c>
      <c r="E391" s="99">
        <v>2</v>
      </c>
      <c r="F391" s="99"/>
      <c r="G391" s="99">
        <v>2</v>
      </c>
      <c r="H391" s="99" t="s">
        <v>96</v>
      </c>
      <c r="I391" s="99"/>
      <c r="J391" s="99" t="s">
        <v>97</v>
      </c>
      <c r="K391" s="99" t="b">
        <v>1</v>
      </c>
      <c r="L391" s="95">
        <v>2022</v>
      </c>
      <c r="M391" s="96">
        <v>38130238</v>
      </c>
      <c r="N391" s="100">
        <v>41087</v>
      </c>
      <c r="O391" s="100">
        <v>41087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Kowalski Ryszard</cp:lastModifiedBy>
  <cp:lastPrinted>2012-06-28T12:05:06Z</cp:lastPrinted>
  <dcterms:created xsi:type="dcterms:W3CDTF">2010-09-17T02:30:46Z</dcterms:created>
  <dcterms:modified xsi:type="dcterms:W3CDTF">2012-07-02T13:21:14Z</dcterms:modified>
  <cp:category/>
  <cp:version/>
  <cp:contentType/>
  <cp:contentStatus/>
</cp:coreProperties>
</file>