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10290" tabRatio="857" firstSheet="4" activeTab="4"/>
  </bookViews>
  <sheets>
    <sheet name="AnalizaWsk243" sheetId="1" state="hidden" r:id="rId1"/>
    <sheet name="rysunki" sheetId="2" state="hidden" r:id="rId2"/>
    <sheet name="Zal_1_WPF_uklad_budzetu_ryzyko" sheetId="3" state="hidden" r:id="rId3"/>
    <sheet name="definicja" sheetId="4" state="hidden" r:id="rId4"/>
    <sheet name="Zal_1_WPF_wg_przeplywow" sheetId="5" r:id="rId5"/>
    <sheet name="DaneZrodlowe" sheetId="6" state="hidden" r:id="rId6"/>
  </sheets>
  <definedNames>
    <definedName name="_xlnm.Print_Area" localSheetId="0">'AnalizaWsk243'!$B$7:$AJ$28</definedName>
    <definedName name="_xlnm.Print_Area" localSheetId="2">'Zal_1_WPF_uklad_budzetu_ryzyko'!$A$6:$AG$76</definedName>
    <definedName name="_xlnm.Print_Area" localSheetId="4">'Zal_1_WPF_wg_przeplywow'!$A$6:$L$82</definedName>
    <definedName name="_xlnm.Print_Titles" localSheetId="0">'AnalizaWsk243'!$A:$A,'AnalizaWsk243'!$2:$6</definedName>
    <definedName name="_xlnm.Print_Titles" localSheetId="2">'Zal_1_WPF_uklad_budzetu_ryzyko'!$A:$B,'Zal_1_WPF_uklad_budzetu_ryzyko'!$4:$5</definedName>
    <definedName name="_xlnm.Print_Titles" localSheetId="4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<sst xmlns="http://schemas.openxmlformats.org/spreadsheetml/2006/main" count="2418" uniqueCount="416">
  <si>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</si>
  <si>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</si>
  <si>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</si>
  <si>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</si>
  <si>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</si>
  <si>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</si>
  <si>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</si>
  <si>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</si>
  <si>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</si>
  <si>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</si>
  <si>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</si>
  <si>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</si>
  <si>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</si>
  <si>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</si>
  <si>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</si>
  <si>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</si>
  <si>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</si>
  <si>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</si>
  <si>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</si>
  <si>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</si>
  <si>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</si>
  <si>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</si>
  <si>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</si>
  <si>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</si>
  <si>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</si>
  <si>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</si>
  <si>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</si>
  <si>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</si>
  <si>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</si>
  <si>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</si>
  <si>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</si>
  <si>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</si>
  <si>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</si>
  <si>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</si>
  <si>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</si>
  <si>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</si>
  <si>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</si>
  <si>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</si>
  <si>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</si>
  <si>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</si>
  <si>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</si>
  <si>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</si>
  <si>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</si>
  <si>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</si>
  <si>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</si>
  <si>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</si>
  <si>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</si>
  <si>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</si>
  <si>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</si>
  <si>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</si>
  <si>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</si>
  <si>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</si>
  <si>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</si>
  <si>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</si>
  <si>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</si>
  <si>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niniejsze zestawienie można samodzielnie formatować </t>
  </si>
  <si>
    <t xml:space="preserve">Wyciąg danych z tabeli "Wieloletnia prognoza finansowa" wprowadzonych do systemu BESTI@ z wybranej uchwały </t>
  </si>
  <si>
    <t>zestawienie wygenerowane na podstawie danych wprowadzonych do systemu BESTI@</t>
  </si>
  <si>
    <t>Dochody ogółem</t>
  </si>
  <si>
    <t>Dochody bieżące</t>
  </si>
  <si>
    <t>Wydatki bieżące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</si>
  <si>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</si>
  <si>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</si>
  <si>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</si>
  <si>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</si>
  <si>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</si>
  <si>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</si>
  <si>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</si>
  <si>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</si>
  <si>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</si>
  <si>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</si>
  <si>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</si>
  <si>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</si>
  <si>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</si>
  <si>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</si>
  <si>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</si>
  <si>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</si>
  <si>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</si>
  <si>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</si>
  <si>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</si>
  <si>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</si>
  <si>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</si>
  <si>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</si>
  <si>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</si>
  <si>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Dochody majątkowe, w tym:</t>
  </si>
  <si>
    <t>ze sprzedaży majątku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</si>
  <si>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</si>
  <si>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</si>
  <si>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</si>
  <si>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</si>
  <si>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</si>
  <si>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</si>
  <si>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</si>
  <si>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>1a1</t>
  </si>
  <si>
    <t>1b</t>
  </si>
  <si>
    <t>1c</t>
  </si>
  <si>
    <t>1d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</si>
  <si>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</si>
  <si>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</si>
  <si>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</si>
  <si>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</si>
  <si>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</si>
  <si>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</si>
  <si>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</si>
  <si>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>2e</t>
  </si>
  <si>
    <t xml:space="preserve"> wydatki bieżące objęte limitem art. 226 ust. 4 ufp</t>
  </si>
  <si>
    <t>2f</t>
  </si>
  <si>
    <t>Różnica (1-2)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</si>
  <si>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</si>
  <si>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</si>
  <si>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</si>
  <si>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</si>
  <si>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</si>
  <si>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>7a1</t>
  </si>
  <si>
    <t xml:space="preserve">  kwota wyłączeń z art. 243 ust. 3 pkt 1 ufp oraz art. 169 ust. 3 sufp przypadająca na dany rok budżetowy</t>
  </si>
  <si>
    <t>7b</t>
  </si>
  <si>
    <t>7b1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</si>
  <si>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</si>
  <si>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</si>
  <si>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</si>
  <si>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</si>
  <si>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</si>
  <si>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</si>
  <si>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</si>
  <si>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</si>
  <si>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</si>
  <si>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</si>
  <si>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</si>
  <si>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>18a</t>
  </si>
  <si>
    <t>19a</t>
  </si>
  <si>
    <t>Relacja (Db-Wb+Dsm)/Do, o której mowa w art. 243 w danym roku</t>
  </si>
  <si>
    <t>20a</t>
  </si>
  <si>
    <t>21a</t>
  </si>
  <si>
    <t>22a</t>
  </si>
  <si>
    <t>na projekty realizowane przy udziale środków, o których mowa w art. 5 ust. 1 pkt 2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</si>
  <si>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</si>
  <si>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</si>
  <si>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</si>
  <si>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</si>
  <si>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</si>
  <si>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</si>
  <si>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</si>
  <si>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</si>
  <si>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</si>
  <si>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</si>
  <si>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</si>
  <si>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</si>
  <si>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</si>
  <si>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</si>
  <si>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</si>
  <si>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</si>
  <si>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</si>
  <si>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</si>
  <si>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</si>
  <si>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</si>
  <si>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</si>
  <si>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</si>
  <si>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</si>
  <si>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</si>
  <si>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</si>
  <si>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</si>
  <si>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Układ wg budżetu</t>
  </si>
  <si>
    <t>Dochody majątkowe - wydatki majątkowe</t>
  </si>
  <si>
    <t>Przeznaczenie nadwyżki w poszczególnych latach objętych prognozą: **</t>
  </si>
  <si>
    <t>Dodatkowa analiza wskaźnika z art. 243</t>
  </si>
  <si>
    <t>na podstawie:</t>
  </si>
  <si>
    <t>prawa strona wzoru</t>
  </si>
  <si>
    <t>n-3</t>
  </si>
  <si>
    <t>n-2</t>
  </si>
  <si>
    <t>n-1</t>
  </si>
  <si>
    <t xml:space="preserve">[1a] Dochody bieżace [Db] </t>
  </si>
  <si>
    <t xml:space="preserve">[1c] + ze sprzedaży majątku [Sm] </t>
  </si>
  <si>
    <t>[Db + Sm - Wb]</t>
  </si>
  <si>
    <t>(Suma wsk. z 3 poprzednich lat) / 3</t>
  </si>
  <si>
    <t>x</t>
  </si>
  <si>
    <t>lewa strona wzoru</t>
  </si>
  <si>
    <t>wskaźniki wg WPF JST</t>
  </si>
  <si>
    <t xml:space="preserve">rok </t>
  </si>
  <si>
    <t>[7a] spłata  [R]</t>
  </si>
  <si>
    <t>[2c] zobowiązania z tytyłu poręczeń [O]</t>
  </si>
  <si>
    <t>spłata + odsetki+zobowiazania z tytułu poręczeń [R+O]</t>
  </si>
  <si>
    <t>zgodność z relacją art. 243 ust. 1 (bez wyłączeń)</t>
  </si>
  <si>
    <t>spłata + odsetk - wyłączenia [[R+O] - wyłączenia ]</t>
  </si>
  <si>
    <t>zgodność z relacją art. 243 (z wyłączeniami)</t>
  </si>
  <si>
    <t xml:space="preserve">wsk.jednoroczny [Db + Sm - Wb] / [D] </t>
  </si>
  <si>
    <t>[7b1] odsetki  [O]</t>
  </si>
  <si>
    <t>[24] -  Wydatki bieżące  [Wb]</t>
  </si>
  <si>
    <t>[1] Dochody ogółem [D]</t>
  </si>
  <si>
    <t>[1] dochody ogółem [D]</t>
  </si>
  <si>
    <t>wskaźnik z roku  bieżącego spłata + odsetki/dochody [R+O]/[D] 
(bez wyłączeń)</t>
  </si>
  <si>
    <r>
      <rPr>
        <b/>
        <sz val="9"/>
        <rFont val="Arial"/>
        <family val="2"/>
      </rPr>
      <t>[7a1] + [2d]</t>
    </r>
    <r>
      <rPr>
        <sz val="9"/>
        <rFont val="Arial"/>
        <family val="2"/>
      </rPr>
      <t xml:space="preserve"> łączna kwota wyłączeń z art. 243 ust. 3 przypadająca na dany rok budżetowy</t>
    </r>
  </si>
  <si>
    <t>wskaźnik z roku  bieżącego:  [ R + O - wyłączenia] / [D] 
(z wyłączeniem spłat)</t>
  </si>
  <si>
    <t>Czy podano odsetki i dyskonto w roku w którym są wydatki na obsługę długu:</t>
  </si>
  <si>
    <t>Nieprzekroczenie wskaźnika z art. 170 suofp (bez wyłączeń)</t>
  </si>
  <si>
    <t>Czy nadwyżka i wolne środki angażowane w przychodach pokrywają deficyt bieżący tzn. 
czy jest spełniony warunek z art. 242 ust. 1?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</si>
  <si>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</si>
  <si>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</si>
  <si>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</si>
  <si>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różnice w relacji art. 243 ust. 1 (bez wyłączeń)</t>
  </si>
  <si>
    <t>różnice w relacji art. 243 (z wyłączeniami)</t>
  </si>
  <si>
    <t>Obszar do analizy wskaźników z art. 243 z dużą liczbą miejsc po przecinku</t>
  </si>
  <si>
    <t>Dochody ogółem = bieżące + majątkowe</t>
  </si>
  <si>
    <t>Wydatki ogółem = bieżące + majątkowe</t>
  </si>
  <si>
    <t>Wynik budżetu = dochody ogółem + wydatki ogółem</t>
  </si>
  <si>
    <t xml:space="preserve">Przeznaczenie nadwyżki budżetowej </t>
  </si>
  <si>
    <t>UWAGA:</t>
  </si>
  <si>
    <t>Sprawdzenie podstawowych wielkości po wprowadzoniu zmian bezpośrednio do arkusza poza systemem BeSTi@</t>
  </si>
  <si>
    <t>Ręcznie wprowadzone DO TEGO ARKUSZA dane NIE ZMIENIAJĄ wartości wskażników z art.. 243, 169 i 170!!!</t>
  </si>
  <si>
    <t>Zostaną one poprawnie zaprezentowane dopiero po wprowadzeniu danych do systemu i PONOWNYM wygenerowniu zestawienia !!!</t>
  </si>
  <si>
    <t>Wartości wskaźników po zmianie wprowadzonej ręcznie do tego arkusza znajdziesz na zakładce "AnalizaWsk243"</t>
  </si>
  <si>
    <t>Analiza graficzna danych z WPF</t>
  </si>
  <si>
    <t>wskaźnik obliczony z wykonaniem za rok N-1 (ze sprawozdań) zamiast plan na III  kw N-1</t>
  </si>
  <si>
    <t>Poniższe reguły nie dotyczą zestawień generowanych w RIO</t>
  </si>
  <si>
    <t>plan</t>
  </si>
  <si>
    <t>wykonanie</t>
  </si>
  <si>
    <t>4kw</t>
  </si>
  <si>
    <t>Analiza spełnienia wskaźnika z art. 243 obliczonego z wykonaniem za rok N-1 (ze sprawozdań) zamiast plan na III  kw N-1</t>
  </si>
  <si>
    <t>13b.</t>
  </si>
  <si>
    <t>14b.</t>
  </si>
  <si>
    <t>dochody bieżące bez środków z UE</t>
  </si>
  <si>
    <t>dochody ogółem bez środków z UE</t>
  </si>
  <si>
    <t>wydatki ogółem bez wydatków na projekty współfinansowane środkami UE</t>
  </si>
  <si>
    <t>Analiza ryzyka niespełnienia wskaźnika z art. 243</t>
  </si>
  <si>
    <t xml:space="preserve">Dynamika kwot ujętych w WPF </t>
  </si>
  <si>
    <t>dochody bieżące - środki UE</t>
  </si>
  <si>
    <t>dochody majątkowe - środki UE*</t>
  </si>
  <si>
    <t>dochody majątkowe bez środków z UE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</si>
  <si>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</si>
  <si>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</si>
  <si>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</si>
  <si>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</si>
  <si>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Dynamika podstawowych wielkości z prognozy</t>
  </si>
  <si>
    <t xml:space="preserve">Analiza podstawowych wielkości ujętych w prognozie </t>
  </si>
  <si>
    <t>Analiza składowych wzoru wskaźnika z art. 243</t>
  </si>
  <si>
    <t>Analiza zmian podstawowych wielkości z prognozy</t>
  </si>
  <si>
    <r>
      <t xml:space="preserve">Spełnienie wskaźnika spłaty z art. 243 ufp </t>
    </r>
    <r>
      <rPr>
        <b/>
        <sz val="9"/>
        <color indexed="8"/>
        <rFont val="Times New Roman"/>
        <family val="1"/>
      </rPr>
      <t xml:space="preserve">(z wykonaniem N-1) 
</t>
    </r>
    <r>
      <rPr>
        <sz val="9"/>
        <color indexed="8"/>
        <rFont val="Times New Roman"/>
        <family val="1"/>
      </rPr>
      <t>po uwzględnieniu art. 244 ufp (po uwzględnieniu wyłączeń)</t>
    </r>
  </si>
  <si>
    <r>
      <t xml:space="preserve">Spełnienie wskaźnika spłaty z art. 243 ufp </t>
    </r>
    <r>
      <rPr>
        <b/>
        <sz val="9"/>
        <color indexed="8"/>
        <rFont val="Times New Roman"/>
        <family val="1"/>
      </rPr>
      <t>(z wykonaniem N-1)</t>
    </r>
    <r>
      <rPr>
        <sz val="9"/>
        <color indexed="8"/>
        <rFont val="Times New Roman"/>
        <family val="1"/>
      </rPr>
      <t xml:space="preserve"> 
po uwzględnieniu art. 244 ufp (bez wyłączeń)</t>
    </r>
  </si>
  <si>
    <t>Rysunek z wskaźnikiem planistycznym</t>
  </si>
  <si>
    <t>Rysunek z wskaźnikiem wg wykonania</t>
  </si>
  <si>
    <r>
      <t xml:space="preserve">Maksymalny dopuszczalny wskaźnik spłaty z art. 243 ufp </t>
    </r>
    <r>
      <rPr>
        <b/>
        <sz val="9"/>
        <color indexed="8"/>
        <rFont val="Times New Roman"/>
        <family val="1"/>
      </rPr>
      <t>(planistyczny)</t>
    </r>
  </si>
  <si>
    <t>pozostałe wydatki bieżące (wydatki bieżące bez wynagrodzeń, pochodnych, wydatków na obsługę długu oraz poręczeń i gwarancji)</t>
  </si>
  <si>
    <t>Czy suma "dochodów majątkowych UE" i "dochodów ze sprzedaży majątku" nie przekracza dochodów majątkowych:</t>
  </si>
  <si>
    <t>dochody majątkowe bez środków z UE 
i bez sprzedaży majątku</t>
  </si>
  <si>
    <t>2013</t>
  </si>
  <si>
    <t xml:space="preserve">  środki na programy, projekty lub zadania finansowane z udziałem środków, o których mowa w art. 5 ust. 1 pkt 2 ustawy, w tym:</t>
  </si>
  <si>
    <t>1aue</t>
  </si>
  <si>
    <t>1due</t>
  </si>
  <si>
    <t xml:space="preserve">  środki na programy, projekty lub zadania finansowane z udziałem środków, o których mowa w art. 5 ust. 1 pkt 2, w tym:</t>
  </si>
  <si>
    <t xml:space="preserve">   środki określone w art. 5 ust. 1 pkt 2 ustawy </t>
  </si>
  <si>
    <t xml:space="preserve"> na pokrycie ujemnego wyniku finansowego samodzielnego publicznego zakładu opieki zdrowotnej</t>
  </si>
  <si>
    <t>2g</t>
  </si>
  <si>
    <t xml:space="preserve">  finansowane środkami określonymi w art. 5 ust. 1 pkt 2 ustawy</t>
  </si>
  <si>
    <t>2f1</t>
  </si>
  <si>
    <t>4.1</t>
  </si>
  <si>
    <t>4.1a</t>
  </si>
  <si>
    <t>4.2</t>
  </si>
  <si>
    <t>4.2a</t>
  </si>
  <si>
    <t>10b1</t>
  </si>
  <si>
    <t>17b</t>
  </si>
  <si>
    <t>17c</t>
  </si>
  <si>
    <t>17d</t>
  </si>
  <si>
    <t>17e2.1</t>
  </si>
  <si>
    <t>20b</t>
  </si>
  <si>
    <t>21b</t>
  </si>
  <si>
    <t>22b</t>
  </si>
  <si>
    <t>17e2</t>
  </si>
  <si>
    <t xml:space="preserve"> dochody bieżące, w tym: </t>
  </si>
  <si>
    <t xml:space="preserve">   środki określone w art. 5 ust. 1 pkt 2 ustawy</t>
  </si>
  <si>
    <t xml:space="preserve"> dochody majątkowe, w tym:</t>
  </si>
  <si>
    <t xml:space="preserve">  ze sprzedaży majątku</t>
  </si>
  <si>
    <t xml:space="preserve">  gwarancje i poręczenia podlegające wyłączeniu z limitów spłaty zobowiązań z art. 243 ufp/169sufp</t>
  </si>
  <si>
    <t xml:space="preserve"> na projekty realizowane przy udziale środków, o których mowa w art. 5 ust. 1 pkt 2, w tym:</t>
  </si>
  <si>
    <t>Nadwyżka budżetowa z lat ubiegłych angażowana w budżecie roku bieżącego</t>
  </si>
  <si>
    <t>Wolne środki, o których mowa w art. 217 ust. 2 pkt 6 ufp, angażowane w budżecie roku bieżącego</t>
  </si>
  <si>
    <t xml:space="preserve"> rozchody z tytułu spłaty rat kapitałowych oraz wykupu papierów wartościowych, w tym:</t>
  </si>
  <si>
    <t xml:space="preserve"> wydatki bieżące na obsługę długu, w tym:</t>
  </si>
  <si>
    <t xml:space="preserve">  odsetki i dyskonto</t>
  </si>
  <si>
    <t>Kwota długu, w tym:</t>
  </si>
  <si>
    <t xml:space="preserve"> dług spłacany wydatkami (zobowiązania wymagalne, umowy zaliczane do kategorii kredytów i pożyczek, itp.)</t>
  </si>
  <si>
    <t>Wartość przejętych zobowiązań, w tym:</t>
  </si>
  <si>
    <t xml:space="preserve"> od spzoz</t>
  </si>
  <si>
    <t>Kwoty ujęte w prognozie dochodów, wydatków i długu związane ze spłatą zobowiązań przejętych od spzoz</t>
  </si>
  <si>
    <t>Dochody budżetowe z tytułu dotacji celowej z budżetu państwa o której mowa w art. 196 ustawy o działalności leczniczej</t>
  </si>
  <si>
    <t>Wysokość zobowiązań podlegających umorzeniu, o którym mowa w art. 190 ustawy o działalności leczniczej</t>
  </si>
  <si>
    <t>Wydatki na spłatę przejętych zobowiązań spzoz likwidowanego na zasadach określonych w przepisach  o działalności leczniczej</t>
  </si>
  <si>
    <t>Wydatki na spłatę przejętych zobowiązań spzoz przekształconego na zasadach określonych w przepisach  o działalności leczniczej, w tym:</t>
  </si>
  <si>
    <t xml:space="preserve"> na spłatę przejętych zobowiązań spzoz przekształconego na zasadach określonych w przepisach  o działalności leczniczej, w wysokości w jakiej nie podlegają sfinansowaniu dotacją z budżetu państwa</t>
  </si>
  <si>
    <t>Maksymalny dopuszczalny wskaźnik spłaty z art. 243 ufp (z wykonaniem za rok N-1)</t>
  </si>
  <si>
    <t>Relacja planowanej łącznej kwoty spłaty zobowiązań do dochodów  (ze związkiem oraz bez wyłączeń)</t>
  </si>
  <si>
    <t>Spełnienie wskaźnika spłaty z art. 243 ufp po uwzględnieniu art. 244 ufp (bez wyłączeń) (planistycznego)</t>
  </si>
  <si>
    <t>Spełnienie wskaźnika spłaty z art. 243 ufp po uwzględnieniu art. 244 ufp (bez wyłączeń) (z wykonaniem za rok N-1)</t>
  </si>
  <si>
    <t>Relacja planowanej łącznej kwoty spłaty zobowiązań do dochodów (po uwzględnieniu wyłączeń UE)</t>
  </si>
  <si>
    <t>Spełnienie wskaźnika spłaty z art. 243 ufp po uwzględnieniu art. 244 ufp (po uwzględnieniu wyłączeń UE) (planistycznego)</t>
  </si>
  <si>
    <t>Spełnienie wskaźnika spłaty z art. 243 ufp po uwzględnieniu art. 244 ufp (po uwzględnieniu wyłączeń UE) (z wykonaniem za rok N-1)</t>
  </si>
  <si>
    <t>Wydatki bieżące razem</t>
  </si>
  <si>
    <t>Rozchody budżetu</t>
  </si>
  <si>
    <t>17e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</si>
  <si>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</si>
  <si>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</si>
  <si>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</si>
  <si>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</si>
  <si>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</si>
  <si>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</si>
  <si>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</si>
  <si>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</si>
  <si>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</si>
  <si>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</si>
  <si>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</si>
  <si>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</si>
  <si>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</si>
  <si>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</si>
  <si>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</si>
  <si>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</si>
  <si>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</si>
  <si>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</si>
  <si>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</si>
  <si>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</si>
  <si>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</si>
  <si>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</si>
  <si>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</si>
  <si>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</si>
  <si>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</si>
  <si>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</si>
  <si>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2041</t>
  </si>
  <si>
    <t>2042</t>
  </si>
  <si>
    <t>2043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</si>
  <si>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</si>
  <si>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</si>
  <si>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</si>
  <si>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</si>
  <si>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</si>
  <si>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</si>
  <si>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</si>
  <si>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</si>
  <si>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</si>
  <si>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</si>
  <si>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</si>
  <si>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</si>
  <si>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</si>
  <si>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</si>
  <si>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</si>
  <si>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</si>
  <si>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</si>
  <si>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</si>
  <si>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</si>
  <si>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</si>
  <si>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</si>
  <si>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</si>
  <si>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</si>
  <si>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</si>
  <si>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</si>
  <si>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</si>
  <si>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</si>
  <si>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</si>
  <si>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</si>
  <si>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370</t>
  </si>
  <si>
    <t>392</t>
  </si>
  <si>
    <t>środki na programy, projekty lub zadania finansowane z udziałem środków, o których mowa w art. 5 ust. 1 pkt 2, w tym:</t>
  </si>
  <si>
    <t>środki określone w art. 5 ust. 1 pkt 2 ustawy</t>
  </si>
  <si>
    <t>środki na programy, projekty lub zadania finansowane z udziałem środków, o których mowa w art. 5 ust. 1 pkt 2 ustawy, w tym:</t>
  </si>
  <si>
    <t xml:space="preserve">dochody bieżące, w tym: </t>
  </si>
  <si>
    <t xml:space="preserve">środki określone w art. 5 ust. 1 pkt 2 ustawy </t>
  </si>
  <si>
    <t>gwarancje i poręczenia podlegające wyłączeniu z limitów spłaty zobowiązań z art. 243 ufp/169sufp</t>
  </si>
  <si>
    <t>na pokrycie ujemnego wyniku finansowego samodzielnego publicznego zakładu opieki zdrowotnej</t>
  </si>
  <si>
    <t>wydatki bieżące objęte limitem art. 226 ust. 4 ufp</t>
  </si>
  <si>
    <t>na projekty realizowane przy udziale środków, o których mowa w art. 5 ust. 1 pkt 2, w tym:</t>
  </si>
  <si>
    <t>finansowane środkami określonymi w art. 5 ust. 1 pkt 2 ustawy</t>
  </si>
  <si>
    <t>z tytułu gwarancji i poręczeń, w tym:</t>
  </si>
  <si>
    <t>odsetki i dyskonto</t>
  </si>
  <si>
    <t>Wolne środki, o których mowa w art. 217 ust.2 pkt 6 ufp, angażowane w budżecie roku bieżącego</t>
  </si>
  <si>
    <t>18.</t>
  </si>
  <si>
    <t>wydatki finansowane środkami, o których mowa w art.. 5 ust. 1 pkt 2 ogółem</t>
  </si>
  <si>
    <t>dochody bieżące - środki z art. 5 ust. 1 pkt 2 ustawy</t>
  </si>
  <si>
    <t>dochody majątkowe - środki z art. 5 ust. 1 pkt 2 ustawy</t>
  </si>
  <si>
    <t xml:space="preserve">wydatki bieżące finansowane środkami, o których mowa w art.. 5 ust. 1 pkt 2 </t>
  </si>
  <si>
    <t>dochody z tytułu środków z art. 5 ust. 1 pkt 2 ustawy - ogółem</t>
  </si>
  <si>
    <t xml:space="preserve">Zmiana kwoty długu, którego spłata dokonywana jest wydatkami </t>
  </si>
  <si>
    <t>dla WOLNYCH ŚRODKÓW:</t>
  </si>
  <si>
    <t xml:space="preserve">dla NADWYŻKI </t>
  </si>
  <si>
    <r>
      <t xml:space="preserve">Maksymalny dopuszczalny wskaźnik spłaty z art. 243 ufp 
</t>
    </r>
    <r>
      <rPr>
        <b/>
        <sz val="9"/>
        <color indexed="8"/>
        <rFont val="Times New Roman"/>
        <family val="1"/>
      </rPr>
      <t>(obliczony z Rb z wykonaniem roku N-1)</t>
    </r>
  </si>
  <si>
    <r>
      <t xml:space="preserve">Czy wydatki majątkowe </t>
    </r>
    <r>
      <rPr>
        <b/>
        <u val="single"/>
        <sz val="8"/>
        <color indexed="8"/>
        <rFont val="Czcionka tekstu podstawowego"/>
        <family val="0"/>
      </rPr>
      <t>finansowane</t>
    </r>
    <r>
      <rPr>
        <b/>
        <sz val="8"/>
        <color indexed="8"/>
        <rFont val="Czcionka tekstu podstawowego"/>
        <family val="0"/>
      </rPr>
      <t xml:space="preserve"> środkami o których mowa w art.5 ust. 1 pkt 2 mieszczą się w kwocie wydatków majątkowych </t>
    </r>
    <r>
      <rPr>
        <b/>
        <u val="single"/>
        <sz val="8"/>
        <color indexed="8"/>
        <rFont val="Czcionka tekstu podstawowego"/>
        <family val="0"/>
      </rPr>
      <t>współfinansowanych</t>
    </r>
    <r>
      <rPr>
        <b/>
        <sz val="8"/>
        <color indexed="8"/>
        <rFont val="Czcionka tekstu podstawowego"/>
        <family val="0"/>
      </rPr>
      <t xml:space="preserve"> środkami, o których mowa w art. 5 ust. 1 pkt 2 ?</t>
    </r>
  </si>
  <si>
    <r>
      <t xml:space="preserve">Czy wydatki bieżące </t>
    </r>
    <r>
      <rPr>
        <b/>
        <u val="single"/>
        <sz val="8"/>
        <color indexed="8"/>
        <rFont val="Czcionka tekstu podstawowego"/>
        <family val="0"/>
      </rPr>
      <t>finansowane</t>
    </r>
    <r>
      <rPr>
        <b/>
        <sz val="8"/>
        <color indexed="8"/>
        <rFont val="Czcionka tekstu podstawowego"/>
        <family val="0"/>
      </rPr>
      <t xml:space="preserve"> środkami o których mowa w art.5 ust. 1 pkt 2 mieszczą się w wydatkach bieżących </t>
    </r>
    <r>
      <rPr>
        <b/>
        <u val="single"/>
        <sz val="8"/>
        <color indexed="8"/>
        <rFont val="Czcionka tekstu podstawowego"/>
        <family val="0"/>
      </rPr>
      <t>współfinansowanych</t>
    </r>
    <r>
      <rPr>
        <b/>
        <sz val="8"/>
        <color indexed="8"/>
        <rFont val="Czcionka tekstu podstawowego"/>
        <family val="0"/>
      </rPr>
      <t xml:space="preserve"> środkami, z art. 5 ust. 1 pkt 2?</t>
    </r>
  </si>
  <si>
    <r>
      <t xml:space="preserve">Czy środki na programy, projekty lub zadania finansowane z udziałem środków, o których mowa w art. 5 ust. 1 pkt 2 ustawy, mieszczą się w </t>
    </r>
    <r>
      <rPr>
        <b/>
        <u val="single"/>
        <sz val="8"/>
        <color indexed="8"/>
        <rFont val="Czcionka tekstu podstawowego"/>
        <family val="0"/>
      </rPr>
      <t>dochodach bieżących</t>
    </r>
    <r>
      <rPr>
        <b/>
        <sz val="8"/>
        <color indexed="8"/>
        <rFont val="Czcionka tekstu podstawowego"/>
        <family val="0"/>
      </rPr>
      <t>:</t>
    </r>
  </si>
  <si>
    <r>
      <t xml:space="preserve">Czy środki na programy, projekty lub zadania finansowane z udziałem środków, o których mowa w art. 5 ust. 1 pkt 2 ustawy, mieszczą się w </t>
    </r>
    <r>
      <rPr>
        <b/>
        <u val="single"/>
        <sz val="8"/>
        <color indexed="8"/>
        <rFont val="Czcionka tekstu podstawowego"/>
        <family val="0"/>
      </rPr>
      <t>dochodach majątkowych</t>
    </r>
    <r>
      <rPr>
        <b/>
        <sz val="8"/>
        <color indexed="8"/>
        <rFont val="Czcionka tekstu podstawowego"/>
        <family val="0"/>
      </rPr>
      <t>:</t>
    </r>
  </si>
  <si>
    <t>Czy dochody majątkowe z UE mieszczą się w kwocie środków majątkowych na programy, projekty lub zadania finansowane z udziałem środków, o których mowa w art. 5 ust. 1 pkt 2 ustawy:</t>
  </si>
  <si>
    <r>
      <t>Czy dochody bieżące z UE mieszczą się w kwocie środków bieżących  na programy, projekty lub zadania finansowane z udziałem środków, o których mowa w art. 5 ust. 1 pkt 2 ustawy</t>
    </r>
    <r>
      <rPr>
        <b/>
        <sz val="8"/>
        <color indexed="8"/>
        <rFont val="Czcionka tekstu podstawowego"/>
        <family val="0"/>
      </rPr>
      <t>: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</si>
  <si>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</si>
  <si>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</si>
  <si>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</si>
  <si>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</si>
  <si>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Projekt 1</t>
  </si>
  <si>
    <t>JEDLNIA-LETNISKO</t>
  </si>
  <si>
    <t>([7a]+[7b1]+[2c]+[15])/[1]</t>
  </si>
  <si>
    <t>[23]-[24]</t>
  </si>
  <si>
    <t>[20]</t>
  </si>
  <si>
    <t>[1]</t>
  </si>
  <si>
    <t>([7a]+[7b1]+[2c])/[1]</t>
  </si>
  <si>
    <t>[20a]-[22]</t>
  </si>
  <si>
    <t>[6]-[7]-[8]</t>
  </si>
  <si>
    <t>([7a]+[7b1]+[2c]-[2d]-[7a1])/[1]</t>
  </si>
  <si>
    <t>[10]+[24]</t>
  </si>
  <si>
    <t>[1a]+[1b]</t>
  </si>
  <si>
    <t>[20a]-[21]</t>
  </si>
  <si>
    <t xml:space="preserve"> ([1a]-[24]+[1c])/[1]</t>
  </si>
  <si>
    <t>[7a]+[8]</t>
  </si>
  <si>
    <t>[26]-[27]</t>
  </si>
  <si>
    <t>[1]-[2]</t>
  </si>
  <si>
    <t>[2]+[7b]</t>
  </si>
  <si>
    <t>[4.1]+[4.2]+[5]+[11]</t>
  </si>
  <si>
    <t>[3]+[4.1]+[4.2]+[5]</t>
  </si>
  <si>
    <t>([13])/[1]</t>
  </si>
  <si>
    <t>[7a]+[7b]</t>
  </si>
  <si>
    <t>([7a]+[7b1]+[2c]+[15]-[2d]-[7a1])/[1]</t>
  </si>
  <si>
    <t>([13]-[14])/[1]</t>
  </si>
  <si>
    <t>[1a]</t>
  </si>
  <si>
    <t>XXVII/148/2012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</si>
</sst>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57"/>
      <name val="Bookman Old Style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57"/>
      <name val="Arial"/>
      <family val="2"/>
    </font>
    <font>
      <i/>
      <sz val="10"/>
      <color indexed="8"/>
      <name val="Czcionka tekstu podstawowego"/>
      <family val="0"/>
    </font>
    <font>
      <b/>
      <i/>
      <sz val="9"/>
      <color indexed="8"/>
      <name val="Arial"/>
      <family val="2"/>
    </font>
    <font>
      <i/>
      <sz val="8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u val="single"/>
      <sz val="8"/>
      <color indexed="8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48" fillId="19" borderId="0" applyNumberFormat="0" applyBorder="0" applyAlignment="0" applyProtection="0"/>
    <xf numFmtId="0" fontId="17" fillId="20" borderId="0" applyNumberFormat="0" applyBorder="0" applyAlignment="0" applyProtection="0"/>
    <xf numFmtId="0" fontId="48" fillId="21" borderId="0" applyNumberFormat="0" applyBorder="0" applyAlignment="0" applyProtection="0"/>
    <xf numFmtId="0" fontId="17" fillId="13" borderId="0" applyNumberFormat="0" applyBorder="0" applyAlignment="0" applyProtection="0"/>
    <xf numFmtId="0" fontId="48" fillId="14" borderId="0" applyNumberFormat="0" applyBorder="0" applyAlignment="0" applyProtection="0"/>
    <xf numFmtId="0" fontId="17" fillId="14" borderId="0" applyNumberFormat="0" applyBorder="0" applyAlignment="0" applyProtection="0"/>
    <xf numFmtId="0" fontId="48" fillId="22" borderId="0" applyNumberFormat="0" applyBorder="0" applyAlignment="0" applyProtection="0"/>
    <xf numFmtId="0" fontId="17" fillId="22" borderId="0" applyNumberFormat="0" applyBorder="0" applyAlignment="0" applyProtection="0"/>
    <xf numFmtId="0" fontId="48" fillId="23" borderId="0" applyNumberFormat="0" applyBorder="0" applyAlignment="0" applyProtection="0"/>
    <xf numFmtId="0" fontId="17" fillId="24" borderId="0" applyNumberFormat="0" applyBorder="0" applyAlignment="0" applyProtection="0"/>
    <xf numFmtId="0" fontId="48" fillId="25" borderId="0" applyNumberFormat="0" applyBorder="0" applyAlignment="0" applyProtection="0"/>
    <xf numFmtId="0" fontId="17" fillId="25" borderId="0" applyNumberFormat="0" applyBorder="0" applyAlignment="0" applyProtection="0"/>
    <xf numFmtId="0" fontId="48" fillId="26" borderId="0" applyNumberFormat="0" applyBorder="0" applyAlignment="0" applyProtection="0"/>
    <xf numFmtId="0" fontId="17" fillId="27" borderId="0" applyNumberFormat="0" applyBorder="0" applyAlignment="0" applyProtection="0"/>
    <xf numFmtId="0" fontId="48" fillId="28" borderId="0" applyNumberFormat="0" applyBorder="0" applyAlignment="0" applyProtection="0"/>
    <xf numFmtId="0" fontId="17" fillId="29" borderId="0" applyNumberFormat="0" applyBorder="0" applyAlignment="0" applyProtection="0"/>
    <xf numFmtId="0" fontId="48" fillId="30" borderId="0" applyNumberFormat="0" applyBorder="0" applyAlignment="0" applyProtection="0"/>
    <xf numFmtId="0" fontId="17" fillId="31" borderId="0" applyNumberFormat="0" applyBorder="0" applyAlignment="0" applyProtection="0"/>
    <xf numFmtId="0" fontId="48" fillId="32" borderId="0" applyNumberFormat="0" applyBorder="0" applyAlignment="0" applyProtection="0"/>
    <xf numFmtId="0" fontId="17" fillId="22" borderId="0" applyNumberFormat="0" applyBorder="0" applyAlignment="0" applyProtection="0"/>
    <xf numFmtId="0" fontId="48" fillId="33" borderId="0" applyNumberFormat="0" applyBorder="0" applyAlignment="0" applyProtection="0"/>
    <xf numFmtId="0" fontId="17" fillId="24" borderId="0" applyNumberFormat="0" applyBorder="0" applyAlignment="0" applyProtection="0"/>
    <xf numFmtId="0" fontId="48" fillId="34" borderId="0" applyNumberFormat="0" applyBorder="0" applyAlignment="0" applyProtection="0"/>
    <xf numFmtId="0" fontId="17" fillId="35" borderId="0" applyNumberFormat="0" applyBorder="0" applyAlignment="0" applyProtection="0"/>
    <xf numFmtId="0" fontId="49" fillId="36" borderId="1" applyNumberFormat="0" applyAlignment="0" applyProtection="0"/>
    <xf numFmtId="0" fontId="18" fillId="9" borderId="2" applyNumberFormat="0" applyAlignment="0" applyProtection="0"/>
    <xf numFmtId="0" fontId="50" fillId="37" borderId="3" applyNumberFormat="0" applyAlignment="0" applyProtection="0"/>
    <xf numFmtId="0" fontId="19" fillId="38" borderId="4" applyNumberFormat="0" applyAlignment="0" applyProtection="0"/>
    <xf numFmtId="0" fontId="51" fillId="39" borderId="0" applyNumberFormat="0" applyBorder="0" applyAlignment="0" applyProtection="0"/>
    <xf numFmtId="0" fontId="20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21" fillId="0" borderId="6" applyNumberFormat="0" applyFill="0" applyAlignment="0" applyProtection="0"/>
    <xf numFmtId="0" fontId="53" fillId="40" borderId="7" applyNumberFormat="0" applyAlignment="0" applyProtection="0"/>
    <xf numFmtId="0" fontId="22" fillId="41" borderId="8" applyNumberFormat="0" applyAlignment="0" applyProtection="0"/>
    <xf numFmtId="0" fontId="54" fillId="0" borderId="9" applyNumberFormat="0" applyFill="0" applyAlignment="0" applyProtection="0"/>
    <xf numFmtId="0" fontId="23" fillId="0" borderId="10" applyNumberFormat="0" applyFill="0" applyAlignment="0" applyProtection="0"/>
    <xf numFmtId="0" fontId="55" fillId="0" borderId="11" applyNumberFormat="0" applyFill="0" applyAlignment="0" applyProtection="0"/>
    <xf numFmtId="0" fontId="24" fillId="0" borderId="12" applyNumberFormat="0" applyFill="0" applyAlignment="0" applyProtection="0"/>
    <xf numFmtId="0" fontId="56" fillId="0" borderId="13" applyNumberFormat="0" applyFill="0" applyAlignment="0" applyProtection="0"/>
    <xf numFmtId="0" fontId="25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42" borderId="0" applyNumberFormat="0" applyBorder="0" applyAlignment="0" applyProtection="0"/>
    <xf numFmtId="0" fontId="26" fillId="43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37" borderId="1" applyNumberFormat="0" applyAlignment="0" applyProtection="0"/>
    <xf numFmtId="0" fontId="27" fillId="38" borderId="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6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44" borderId="17" applyNumberFormat="0" applyFont="0" applyAlignment="0" applyProtection="0"/>
    <xf numFmtId="0" fontId="5" fillId="45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46" borderId="0" applyNumberFormat="0" applyBorder="0" applyAlignment="0" applyProtection="0"/>
    <xf numFmtId="0" fontId="31" fillId="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3" fillId="38" borderId="19" xfId="96" applyNumberFormat="1" applyFont="1" applyFill="1" applyBorder="1" applyAlignment="1">
      <alignment horizontal="center" vertical="center"/>
      <protection/>
    </xf>
    <xf numFmtId="49" fontId="3" fillId="38" borderId="20" xfId="96" applyNumberFormat="1" applyFont="1" applyFill="1" applyBorder="1" applyAlignment="1">
      <alignment horizontal="center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11" borderId="0" xfId="0" applyFont="1" applyFill="1" applyAlignment="1" applyProtection="1">
      <alignment vertical="center"/>
      <protection locked="0"/>
    </xf>
    <xf numFmtId="0" fontId="3" fillId="11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165" fontId="2" fillId="11" borderId="21" xfId="96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16" fillId="0" borderId="0" xfId="0" applyFont="1" applyAlignment="1">
      <alignment/>
    </xf>
    <xf numFmtId="0" fontId="7" fillId="38" borderId="0" xfId="0" applyFont="1" applyFill="1" applyAlignment="1">
      <alignment horizontal="center"/>
    </xf>
    <xf numFmtId="0" fontId="7" fillId="0" borderId="22" xfId="0" applyFont="1" applyBorder="1" applyAlignment="1">
      <alignment/>
    </xf>
    <xf numFmtId="0" fontId="2" fillId="0" borderId="0" xfId="97" applyFont="1" applyBorder="1" applyAlignment="1" quotePrefix="1">
      <alignment horizontal="right" vertical="center"/>
      <protection/>
    </xf>
    <xf numFmtId="0" fontId="2" fillId="0" borderId="0" xfId="97" applyFont="1" applyBorder="1" applyAlignment="1">
      <alignment vertical="center" wrapText="1"/>
      <protection/>
    </xf>
    <xf numFmtId="165" fontId="2" fillId="0" borderId="0" xfId="97" applyNumberFormat="1" applyFont="1" applyBorder="1" applyAlignment="1">
      <alignment vertical="center"/>
      <protection/>
    </xf>
    <xf numFmtId="0" fontId="13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2" fillId="0" borderId="23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2" fillId="0" borderId="0" xfId="97" applyFont="1" applyBorder="1" applyAlignment="1">
      <alignment vertical="center"/>
      <protection/>
    </xf>
    <xf numFmtId="49" fontId="3" fillId="38" borderId="24" xfId="96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3" fillId="0" borderId="25" xfId="96" applyFont="1" applyFill="1" applyBorder="1" applyAlignment="1">
      <alignment vertical="center" wrapText="1"/>
      <protection/>
    </xf>
    <xf numFmtId="166" fontId="2" fillId="0" borderId="25" xfId="97" applyNumberFormat="1" applyFont="1" applyFill="1" applyBorder="1" applyAlignment="1">
      <alignment vertical="center"/>
      <protection/>
    </xf>
    <xf numFmtId="166" fontId="3" fillId="0" borderId="25" xfId="97" applyNumberFormat="1" applyFont="1" applyFill="1" applyBorder="1" applyAlignment="1">
      <alignment vertical="center"/>
      <protection/>
    </xf>
    <xf numFmtId="49" fontId="3" fillId="38" borderId="25" xfId="97" applyNumberFormat="1" applyFont="1" applyFill="1" applyBorder="1" applyAlignment="1">
      <alignment horizontal="center" vertical="center"/>
      <protection/>
    </xf>
    <xf numFmtId="49" fontId="3" fillId="38" borderId="25" xfId="97" applyNumberFormat="1" applyFont="1" applyFill="1" applyBorder="1" applyAlignment="1">
      <alignment vertical="center"/>
      <protection/>
    </xf>
    <xf numFmtId="1" fontId="3" fillId="38" borderId="25" xfId="97" applyNumberFormat="1" applyFont="1" applyFill="1" applyBorder="1" applyAlignment="1">
      <alignment horizontal="center" vertical="center"/>
      <protection/>
    </xf>
    <xf numFmtId="0" fontId="3" fillId="0" borderId="25" xfId="97" applyFont="1" applyBorder="1" applyAlignment="1">
      <alignment horizontal="center" vertical="center"/>
      <protection/>
    </xf>
    <xf numFmtId="0" fontId="3" fillId="0" borderId="25" xfId="97" applyFont="1" applyFill="1" applyBorder="1" applyAlignment="1">
      <alignment vertical="center" wrapText="1"/>
      <protection/>
    </xf>
    <xf numFmtId="0" fontId="3" fillId="0" borderId="25" xfId="0" applyFont="1" applyBorder="1" applyAlignment="1">
      <alignment horizontal="center" vertical="top"/>
    </xf>
    <xf numFmtId="0" fontId="3" fillId="0" borderId="25" xfId="0" applyFont="1" applyFill="1" applyBorder="1" applyAlignment="1">
      <alignment vertical="top" wrapText="1"/>
    </xf>
    <xf numFmtId="0" fontId="3" fillId="0" borderId="26" xfId="97" applyFont="1" applyBorder="1" applyAlignment="1">
      <alignment horizontal="center" vertical="center"/>
      <protection/>
    </xf>
    <xf numFmtId="0" fontId="3" fillId="0" borderId="26" xfId="97" applyFont="1" applyFill="1" applyBorder="1" applyAlignment="1">
      <alignment vertical="center" wrapText="1"/>
      <protection/>
    </xf>
    <xf numFmtId="166" fontId="3" fillId="0" borderId="26" xfId="97" applyNumberFormat="1" applyFont="1" applyFill="1" applyBorder="1" applyAlignment="1">
      <alignment vertical="center"/>
      <protection/>
    </xf>
    <xf numFmtId="0" fontId="2" fillId="0" borderId="27" xfId="97" applyFont="1" applyBorder="1" applyAlignment="1">
      <alignment horizontal="center" vertical="center"/>
      <protection/>
    </xf>
    <xf numFmtId="0" fontId="2" fillId="0" borderId="27" xfId="97" applyFont="1" applyFill="1" applyBorder="1" applyAlignment="1">
      <alignment horizontal="left" vertical="center" wrapText="1" indent="1"/>
      <protection/>
    </xf>
    <xf numFmtId="166" fontId="2" fillId="0" borderId="27" xfId="97" applyNumberFormat="1" applyFont="1" applyFill="1" applyBorder="1" applyAlignment="1">
      <alignment vertical="center"/>
      <protection/>
    </xf>
    <xf numFmtId="0" fontId="2" fillId="0" borderId="27" xfId="97" applyFont="1" applyFill="1" applyBorder="1" applyAlignment="1">
      <alignment horizontal="left" vertical="center" wrapText="1" indent="2"/>
      <protection/>
    </xf>
    <xf numFmtId="0" fontId="2" fillId="0" borderId="27" xfId="97" applyNumberFormat="1" applyFont="1" applyFill="1" applyBorder="1" applyAlignment="1">
      <alignment horizontal="left" vertical="center" wrapText="1" indent="2"/>
      <protection/>
    </xf>
    <xf numFmtId="0" fontId="3" fillId="0" borderId="27" xfId="97" applyFont="1" applyBorder="1" applyAlignment="1">
      <alignment horizontal="center" vertical="center"/>
      <protection/>
    </xf>
    <xf numFmtId="166" fontId="3" fillId="0" borderId="27" xfId="97" applyNumberFormat="1" applyFont="1" applyFill="1" applyBorder="1" applyAlignment="1">
      <alignment vertical="center"/>
      <protection/>
    </xf>
    <xf numFmtId="0" fontId="2" fillId="0" borderId="27" xfId="97" applyFont="1" applyFill="1" applyBorder="1" applyAlignment="1">
      <alignment horizontal="left" vertical="center" wrapText="1" indent="3"/>
      <protection/>
    </xf>
    <xf numFmtId="0" fontId="2" fillId="0" borderId="27" xfId="97" applyFont="1" applyFill="1" applyBorder="1" applyAlignment="1">
      <alignment horizontal="left" vertical="center" wrapText="1" indent="4"/>
      <protection/>
    </xf>
    <xf numFmtId="0" fontId="2" fillId="0" borderId="27" xfId="97" applyFont="1" applyFill="1" applyBorder="1" applyAlignment="1" quotePrefix="1">
      <alignment horizontal="left" vertical="center" wrapText="1" indent="2"/>
      <protection/>
    </xf>
    <xf numFmtId="0" fontId="2" fillId="0" borderId="27" xfId="97" applyFont="1" applyFill="1" applyBorder="1" applyAlignment="1">
      <alignment vertical="center" wrapText="1"/>
      <protection/>
    </xf>
    <xf numFmtId="10" fontId="3" fillId="0" borderId="27" xfId="97" applyNumberFormat="1" applyFont="1" applyFill="1" applyBorder="1" applyAlignment="1">
      <alignment vertical="center"/>
      <protection/>
    </xf>
    <xf numFmtId="0" fontId="3" fillId="0" borderId="27" xfId="96" applyFont="1" applyFill="1" applyBorder="1" applyAlignment="1">
      <alignment vertical="center" wrapText="1"/>
      <protection/>
    </xf>
    <xf numFmtId="0" fontId="3" fillId="0" borderId="27" xfId="97" applyFont="1" applyFill="1" applyBorder="1" applyAlignment="1">
      <alignment horizontal="center" vertical="center" wrapText="1"/>
      <protection/>
    </xf>
    <xf numFmtId="0" fontId="2" fillId="0" borderId="28" xfId="97" applyFont="1" applyBorder="1" applyAlignment="1">
      <alignment horizontal="center" vertical="center"/>
      <protection/>
    </xf>
    <xf numFmtId="0" fontId="2" fillId="0" borderId="28" xfId="97" applyFont="1" applyFill="1" applyBorder="1" applyAlignment="1">
      <alignment horizontal="left" vertical="center" wrapText="1" indent="1"/>
      <protection/>
    </xf>
    <xf numFmtId="166" fontId="2" fillId="0" borderId="28" xfId="97" applyNumberFormat="1" applyFont="1" applyFill="1" applyBorder="1" applyAlignment="1">
      <alignment vertical="center"/>
      <protection/>
    </xf>
    <xf numFmtId="0" fontId="2" fillId="0" borderId="28" xfId="97" applyFont="1" applyFill="1" applyBorder="1" applyAlignment="1">
      <alignment horizontal="left" vertical="center" wrapText="1" indent="2"/>
      <protection/>
    </xf>
    <xf numFmtId="0" fontId="3" fillId="0" borderId="28" xfId="97" applyFont="1" applyBorder="1" applyAlignment="1">
      <alignment horizontal="center" vertical="center"/>
      <protection/>
    </xf>
    <xf numFmtId="166" fontId="3" fillId="0" borderId="28" xfId="97" applyNumberFormat="1" applyFont="1" applyFill="1" applyBorder="1" applyAlignment="1">
      <alignment vertical="center"/>
      <protection/>
    </xf>
    <xf numFmtId="0" fontId="2" fillId="0" borderId="26" xfId="97" applyFont="1" applyFill="1" applyBorder="1" applyAlignment="1">
      <alignment vertical="center" wrapText="1"/>
      <protection/>
    </xf>
    <xf numFmtId="10" fontId="3" fillId="0" borderId="26" xfId="97" applyNumberFormat="1" applyFont="1" applyFill="1" applyBorder="1" applyAlignment="1">
      <alignment vertical="center"/>
      <protection/>
    </xf>
    <xf numFmtId="0" fontId="2" fillId="0" borderId="28" xfId="97" applyFont="1" applyFill="1" applyBorder="1" applyAlignment="1">
      <alignment vertical="center" wrapText="1"/>
      <protection/>
    </xf>
    <xf numFmtId="10" fontId="3" fillId="0" borderId="28" xfId="97" applyNumberFormat="1" applyFont="1" applyFill="1" applyBorder="1" applyAlignment="1">
      <alignment vertical="center"/>
      <protection/>
    </xf>
    <xf numFmtId="166" fontId="2" fillId="0" borderId="26" xfId="97" applyNumberFormat="1" applyFont="1" applyFill="1" applyBorder="1" applyAlignment="1">
      <alignment vertical="center"/>
      <protection/>
    </xf>
    <xf numFmtId="1" fontId="43" fillId="0" borderId="0" xfId="0" applyNumberFormat="1" applyFont="1" applyAlignment="1">
      <alignment horizontal="center" vertical="center"/>
    </xf>
    <xf numFmtId="166" fontId="43" fillId="0" borderId="0" xfId="0" applyNumberFormat="1" applyFont="1" applyAlignment="1">
      <alignment vertical="center"/>
    </xf>
    <xf numFmtId="2" fontId="43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14" fontId="43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25" xfId="96" applyNumberFormat="1" applyFont="1" applyFill="1" applyBorder="1" applyAlignment="1">
      <alignment horizontal="center" vertical="center"/>
      <protection/>
    </xf>
    <xf numFmtId="49" fontId="3" fillId="0" borderId="25" xfId="96" applyNumberFormat="1" applyFont="1" applyFill="1" applyBorder="1" applyAlignment="1">
      <alignment horizontal="center" vertical="center" wrapText="1"/>
      <protection/>
    </xf>
    <xf numFmtId="49" fontId="3" fillId="0" borderId="25" xfId="96" applyNumberFormat="1" applyFont="1" applyFill="1" applyBorder="1" applyAlignment="1">
      <alignment horizontal="center"/>
      <protection/>
    </xf>
    <xf numFmtId="0" fontId="3" fillId="0" borderId="25" xfId="96" applyFont="1" applyFill="1" applyBorder="1" applyAlignment="1">
      <alignment horizontal="center" vertical="center"/>
      <protection/>
    </xf>
    <xf numFmtId="0" fontId="8" fillId="0" borderId="25" xfId="96" applyFont="1" applyFill="1" applyBorder="1" applyAlignment="1">
      <alignment vertical="center" wrapText="1"/>
      <protection/>
    </xf>
    <xf numFmtId="0" fontId="8" fillId="0" borderId="25" xfId="96" applyFont="1" applyFill="1" applyBorder="1" applyAlignment="1">
      <alignment horizontal="center" vertical="center"/>
      <protection/>
    </xf>
    <xf numFmtId="0" fontId="2" fillId="0" borderId="27" xfId="96" applyFont="1" applyFill="1" applyBorder="1" applyAlignment="1">
      <alignment horizontal="center" vertical="center"/>
      <protection/>
    </xf>
    <xf numFmtId="0" fontId="2" fillId="0" borderId="27" xfId="96" applyFont="1" applyFill="1" applyBorder="1" applyAlignment="1">
      <alignment horizontal="left" vertical="center" wrapText="1" indent="1"/>
      <protection/>
    </xf>
    <xf numFmtId="0" fontId="2" fillId="0" borderId="27" xfId="96" applyFont="1" applyFill="1" applyBorder="1" applyAlignment="1">
      <alignment horizontal="left" vertical="center" wrapText="1" indent="2"/>
      <protection/>
    </xf>
    <xf numFmtId="0" fontId="2" fillId="0" borderId="27" xfId="96" applyFont="1" applyFill="1" applyBorder="1" applyAlignment="1" quotePrefix="1">
      <alignment horizontal="left" vertical="center" wrapText="1" indent="1"/>
      <protection/>
    </xf>
    <xf numFmtId="0" fontId="11" fillId="0" borderId="27" xfId="96" applyFont="1" applyFill="1" applyBorder="1" applyAlignment="1">
      <alignment horizontal="left" vertical="center" wrapText="1" indent="2"/>
      <protection/>
    </xf>
    <xf numFmtId="0" fontId="11" fillId="0" borderId="27" xfId="96" applyFont="1" applyFill="1" applyBorder="1" applyAlignment="1">
      <alignment horizontal="left" vertical="center" wrapText="1" indent="1"/>
      <protection/>
    </xf>
    <xf numFmtId="0" fontId="8" fillId="0" borderId="27" xfId="96" applyFont="1" applyFill="1" applyBorder="1" applyAlignment="1">
      <alignment horizontal="center" vertical="center"/>
      <protection/>
    </xf>
    <xf numFmtId="0" fontId="11" fillId="0" borderId="27" xfId="96" applyFont="1" applyFill="1" applyBorder="1" applyAlignment="1">
      <alignment horizontal="center" vertical="center"/>
      <protection/>
    </xf>
    <xf numFmtId="0" fontId="2" fillId="0" borderId="27" xfId="96" applyFont="1" applyFill="1" applyBorder="1" applyAlignment="1">
      <alignment vertical="center" wrapText="1"/>
      <protection/>
    </xf>
    <xf numFmtId="0" fontId="11" fillId="0" borderId="27" xfId="96" applyFont="1" applyFill="1" applyBorder="1" applyAlignment="1">
      <alignment vertical="center" wrapText="1"/>
      <protection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top" wrapText="1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top" wrapText="1" indent="1"/>
    </xf>
    <xf numFmtId="0" fontId="3" fillId="0" borderId="26" xfId="96" applyFont="1" applyFill="1" applyBorder="1" applyAlignment="1">
      <alignment horizontal="center" vertical="center"/>
      <protection/>
    </xf>
    <xf numFmtId="0" fontId="3" fillId="0" borderId="26" xfId="96" applyFont="1" applyFill="1" applyBorder="1" applyAlignment="1">
      <alignment vertical="center" wrapText="1"/>
      <protection/>
    </xf>
    <xf numFmtId="0" fontId="2" fillId="0" borderId="28" xfId="96" applyFont="1" applyFill="1" applyBorder="1" applyAlignment="1">
      <alignment horizontal="center" vertical="center"/>
      <protection/>
    </xf>
    <xf numFmtId="0" fontId="2" fillId="0" borderId="28" xfId="96" applyFont="1" applyFill="1" applyBorder="1" applyAlignment="1">
      <alignment horizontal="left" vertical="center" wrapText="1" indent="2"/>
      <protection/>
    </xf>
    <xf numFmtId="0" fontId="2" fillId="0" borderId="28" xfId="96" applyFont="1" applyFill="1" applyBorder="1" applyAlignment="1">
      <alignment horizontal="left" vertical="center" wrapText="1" indent="1"/>
      <protection/>
    </xf>
    <xf numFmtId="0" fontId="8" fillId="0" borderId="26" xfId="96" applyFont="1" applyFill="1" applyBorder="1" applyAlignment="1">
      <alignment horizontal="center" vertical="center"/>
      <protection/>
    </xf>
    <xf numFmtId="0" fontId="8" fillId="0" borderId="26" xfId="96" applyFont="1" applyFill="1" applyBorder="1" applyAlignment="1">
      <alignment vertical="center" wrapText="1"/>
      <protection/>
    </xf>
    <xf numFmtId="0" fontId="11" fillId="0" borderId="28" xfId="96" applyFont="1" applyFill="1" applyBorder="1" applyAlignment="1">
      <alignment horizontal="center" vertical="center"/>
      <protection/>
    </xf>
    <xf numFmtId="0" fontId="11" fillId="0" borderId="28" xfId="96" applyFont="1" applyFill="1" applyBorder="1" applyAlignment="1">
      <alignment horizontal="left" vertical="center" wrapText="1" indent="1"/>
      <protection/>
    </xf>
    <xf numFmtId="0" fontId="11" fillId="0" borderId="26" xfId="96" applyFont="1" applyFill="1" applyBorder="1" applyAlignment="1">
      <alignment horizontal="center" vertical="center"/>
      <protection/>
    </xf>
    <xf numFmtId="0" fontId="2" fillId="0" borderId="26" xfId="96" applyFont="1" applyFill="1" applyBorder="1" applyAlignment="1">
      <alignment vertical="center" wrapText="1"/>
      <protection/>
    </xf>
    <xf numFmtId="0" fontId="11" fillId="0" borderId="28" xfId="96" applyFont="1" applyFill="1" applyBorder="1" applyAlignment="1">
      <alignment horizontal="left" vertical="center" wrapText="1"/>
      <protection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vertical="top" wrapText="1"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top" wrapText="1" indent="1"/>
    </xf>
    <xf numFmtId="0" fontId="10" fillId="0" borderId="28" xfId="0" applyFont="1" applyBorder="1" applyAlignment="1">
      <alignment horizontal="left" vertical="top" wrapText="1" indent="2"/>
    </xf>
    <xf numFmtId="0" fontId="12" fillId="0" borderId="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12" fillId="47" borderId="0" xfId="0" applyFont="1" applyFill="1" applyAlignment="1">
      <alignment/>
    </xf>
    <xf numFmtId="0" fontId="12" fillId="18" borderId="0" xfId="0" applyFont="1" applyFill="1" applyAlignment="1">
      <alignment/>
    </xf>
    <xf numFmtId="0" fontId="14" fillId="18" borderId="26" xfId="0" applyFont="1" applyFill="1" applyBorder="1" applyAlignment="1">
      <alignment horizontal="right" wrapText="1"/>
    </xf>
    <xf numFmtId="166" fontId="7" fillId="0" borderId="26" xfId="0" applyNumberFormat="1" applyFont="1" applyBorder="1" applyAlignment="1">
      <alignment vertical="center"/>
    </xf>
    <xf numFmtId="166" fontId="7" fillId="0" borderId="27" xfId="0" applyNumberFormat="1" applyFont="1" applyBorder="1" applyAlignment="1">
      <alignment vertical="center"/>
    </xf>
    <xf numFmtId="0" fontId="14" fillId="18" borderId="27" xfId="0" applyFont="1" applyFill="1" applyBorder="1" applyAlignment="1">
      <alignment horizontal="right" wrapText="1"/>
    </xf>
    <xf numFmtId="0" fontId="15" fillId="0" borderId="27" xfId="0" applyFont="1" applyBorder="1" applyAlignment="1">
      <alignment horizontal="right" wrapText="1"/>
    </xf>
    <xf numFmtId="0" fontId="7" fillId="0" borderId="27" xfId="0" applyFont="1" applyBorder="1" applyAlignment="1">
      <alignment vertical="center"/>
    </xf>
    <xf numFmtId="0" fontId="14" fillId="47" borderId="27" xfId="0" applyFont="1" applyFill="1" applyBorder="1" applyAlignment="1">
      <alignment horizontal="right"/>
    </xf>
    <xf numFmtId="0" fontId="14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 vertical="center"/>
    </xf>
    <xf numFmtId="0" fontId="14" fillId="47" borderId="27" xfId="0" applyFont="1" applyFill="1" applyBorder="1" applyAlignment="1">
      <alignment horizontal="right" wrapText="1"/>
    </xf>
    <xf numFmtId="0" fontId="7" fillId="0" borderId="27" xfId="0" applyFont="1" applyBorder="1" applyAlignment="1">
      <alignment/>
    </xf>
    <xf numFmtId="0" fontId="14" fillId="47" borderId="28" xfId="0" applyFont="1" applyFill="1" applyBorder="1" applyAlignment="1">
      <alignment horizontal="right" wrapText="1"/>
    </xf>
    <xf numFmtId="0" fontId="7" fillId="0" borderId="28" xfId="0" applyFont="1" applyBorder="1" applyAlignment="1">
      <alignment vertical="center"/>
    </xf>
    <xf numFmtId="0" fontId="16" fillId="0" borderId="0" xfId="0" applyFont="1" applyAlignment="1">
      <alignment/>
    </xf>
    <xf numFmtId="0" fontId="3" fillId="0" borderId="26" xfId="97" applyFont="1" applyFill="1" applyBorder="1" applyAlignment="1">
      <alignment horizontal="center" vertical="center"/>
      <protection/>
    </xf>
    <xf numFmtId="0" fontId="8" fillId="0" borderId="26" xfId="97" applyFont="1" applyFill="1" applyBorder="1" applyAlignment="1">
      <alignment horizontal="left" vertical="center" wrapText="1"/>
      <protection/>
    </xf>
    <xf numFmtId="0" fontId="3" fillId="0" borderId="28" xfId="97" applyFont="1" applyFill="1" applyBorder="1" applyAlignment="1">
      <alignment horizontal="center" vertical="center"/>
      <protection/>
    </xf>
    <xf numFmtId="0" fontId="8" fillId="0" borderId="28" xfId="97" applyFont="1" applyFill="1" applyBorder="1" applyAlignment="1">
      <alignment horizontal="left" vertical="center" wrapText="1"/>
      <protection/>
    </xf>
    <xf numFmtId="10" fontId="7" fillId="0" borderId="25" xfId="102" applyNumberFormat="1" applyFont="1" applyBorder="1" applyAlignment="1">
      <alignment/>
    </xf>
    <xf numFmtId="0" fontId="3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3" fillId="47" borderId="25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>
      <alignment horizontal="right"/>
    </xf>
    <xf numFmtId="4" fontId="35" fillId="48" borderId="25" xfId="0" applyNumberFormat="1" applyFont="1" applyFill="1" applyBorder="1" applyAlignment="1" applyProtection="1">
      <alignment vertical="center"/>
      <protection locked="0"/>
    </xf>
    <xf numFmtId="10" fontId="33" fillId="49" borderId="25" xfId="108" applyNumberFormat="1" applyFont="1" applyFill="1" applyBorder="1" applyAlignment="1" applyProtection="1">
      <alignment vertical="center"/>
      <protection/>
    </xf>
    <xf numFmtId="0" fontId="34" fillId="49" borderId="30" xfId="0" applyFont="1" applyFill="1" applyBorder="1" applyAlignment="1" applyProtection="1">
      <alignment/>
      <protection locked="0"/>
    </xf>
    <xf numFmtId="10" fontId="34" fillId="49" borderId="31" xfId="108" applyNumberFormat="1" applyFont="1" applyFill="1" applyBorder="1" applyAlignment="1" applyProtection="1">
      <alignment vertical="center"/>
      <protection/>
    </xf>
    <xf numFmtId="4" fontId="34" fillId="49" borderId="25" xfId="108" applyNumberFormat="1" applyFont="1" applyFill="1" applyBorder="1" applyAlignment="1" applyProtection="1">
      <alignment vertical="center"/>
      <protection/>
    </xf>
    <xf numFmtId="10" fontId="34" fillId="49" borderId="25" xfId="108" applyNumberFormat="1" applyFont="1" applyFill="1" applyBorder="1" applyAlignment="1" applyProtection="1">
      <alignment vertical="center"/>
      <protection/>
    </xf>
    <xf numFmtId="0" fontId="33" fillId="0" borderId="25" xfId="0" applyFont="1" applyBorder="1" applyAlignment="1" applyProtection="1">
      <alignment vertical="center" wrapText="1"/>
      <protection locked="0"/>
    </xf>
    <xf numFmtId="0" fontId="34" fillId="49" borderId="25" xfId="0" applyFont="1" applyFill="1" applyBorder="1" applyAlignment="1" applyProtection="1">
      <alignment vertical="center" wrapText="1"/>
      <protection/>
    </xf>
    <xf numFmtId="4" fontId="35" fillId="49" borderId="25" xfId="0" applyNumberFormat="1" applyFont="1" applyFill="1" applyBorder="1" applyAlignment="1" applyProtection="1">
      <alignment vertical="center"/>
      <protection/>
    </xf>
    <xf numFmtId="0" fontId="34" fillId="49" borderId="25" xfId="0" applyFont="1" applyFill="1" applyBorder="1" applyAlignment="1" applyProtection="1">
      <alignment vertical="center" wrapText="1"/>
      <protection locked="0"/>
    </xf>
    <xf numFmtId="0" fontId="34" fillId="49" borderId="25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/>
      <protection locked="0"/>
    </xf>
    <xf numFmtId="0" fontId="35" fillId="49" borderId="0" xfId="0" applyFont="1" applyFill="1" applyBorder="1" applyAlignment="1" applyProtection="1">
      <alignment/>
      <protection locked="0"/>
    </xf>
    <xf numFmtId="0" fontId="34" fillId="49" borderId="32" xfId="0" applyFont="1" applyFill="1" applyBorder="1" applyAlignment="1" applyProtection="1">
      <alignment vertical="center" wrapText="1"/>
      <protection locked="0"/>
    </xf>
    <xf numFmtId="4" fontId="35" fillId="48" borderId="33" xfId="0" applyNumberFormat="1" applyFont="1" applyFill="1" applyBorder="1" applyAlignment="1" applyProtection="1">
      <alignment vertical="center"/>
      <protection locked="0"/>
    </xf>
    <xf numFmtId="0" fontId="34" fillId="49" borderId="21" xfId="0" applyFont="1" applyFill="1" applyBorder="1" applyAlignment="1" applyProtection="1">
      <alignment vertical="center" wrapText="1"/>
      <protection locked="0"/>
    </xf>
    <xf numFmtId="0" fontId="34" fillId="49" borderId="34" xfId="0" applyFont="1" applyFill="1" applyBorder="1" applyAlignment="1" applyProtection="1">
      <alignment vertical="center" wrapText="1"/>
      <protection/>
    </xf>
    <xf numFmtId="4" fontId="35" fillId="49" borderId="35" xfId="0" applyNumberFormat="1" applyFont="1" applyFill="1" applyBorder="1" applyAlignment="1" applyProtection="1">
      <alignment vertical="center"/>
      <protection/>
    </xf>
    <xf numFmtId="0" fontId="34" fillId="49" borderId="19" xfId="0" applyFont="1" applyFill="1" applyBorder="1" applyAlignment="1" applyProtection="1">
      <alignment vertical="center" wrapText="1"/>
      <protection/>
    </xf>
    <xf numFmtId="4" fontId="35" fillId="0" borderId="20" xfId="0" applyNumberFormat="1" applyFont="1" applyFill="1" applyBorder="1" applyAlignment="1" applyProtection="1">
      <alignment vertical="center"/>
      <protection/>
    </xf>
    <xf numFmtId="0" fontId="34" fillId="49" borderId="33" xfId="0" applyFont="1" applyFill="1" applyBorder="1" applyAlignment="1" applyProtection="1">
      <alignment vertical="center" wrapText="1"/>
      <protection/>
    </xf>
    <xf numFmtId="0" fontId="34" fillId="47" borderId="25" xfId="0" applyFont="1" applyFill="1" applyBorder="1" applyAlignment="1" applyProtection="1">
      <alignment vertical="center" wrapText="1"/>
      <protection locked="0"/>
    </xf>
    <xf numFmtId="0" fontId="34" fillId="18" borderId="25" xfId="0" applyFont="1" applyFill="1" applyBorder="1" applyAlignment="1" applyProtection="1">
      <alignment vertical="center" wrapText="1"/>
      <protection locked="0"/>
    </xf>
    <xf numFmtId="0" fontId="38" fillId="49" borderId="0" xfId="0" applyFont="1" applyFill="1" applyBorder="1" applyAlignment="1" applyProtection="1">
      <alignment horizontal="right"/>
      <protection locked="0"/>
    </xf>
    <xf numFmtId="10" fontId="34" fillId="49" borderId="31" xfId="108" applyNumberFormat="1" applyFont="1" applyFill="1" applyBorder="1" applyAlignment="1" applyProtection="1">
      <alignment horizontal="right" vertical="center"/>
      <protection/>
    </xf>
    <xf numFmtId="10" fontId="35" fillId="0" borderId="25" xfId="0" applyNumberFormat="1" applyFont="1" applyBorder="1" applyAlignment="1">
      <alignment/>
    </xf>
    <xf numFmtId="0" fontId="33" fillId="0" borderId="25" xfId="0" applyFont="1" applyFill="1" applyBorder="1" applyAlignment="1" applyProtection="1">
      <alignment vertical="center" wrapText="1"/>
      <protection locked="0"/>
    </xf>
    <xf numFmtId="4" fontId="7" fillId="0" borderId="25" xfId="102" applyNumberFormat="1" applyFont="1" applyBorder="1" applyAlignment="1">
      <alignment/>
    </xf>
    <xf numFmtId="166" fontId="7" fillId="0" borderId="36" xfId="0" applyNumberFormat="1" applyFont="1" applyBorder="1" applyAlignment="1">
      <alignment vertical="center"/>
    </xf>
    <xf numFmtId="0" fontId="14" fillId="35" borderId="36" xfId="0" applyFont="1" applyFill="1" applyBorder="1" applyAlignment="1">
      <alignment horizontal="right" wrapText="1"/>
    </xf>
    <xf numFmtId="166" fontId="7" fillId="0" borderId="36" xfId="0" applyNumberFormat="1" applyFont="1" applyBorder="1" applyAlignment="1">
      <alignment horizontal="center" vertical="center"/>
    </xf>
    <xf numFmtId="0" fontId="34" fillId="49" borderId="37" xfId="0" applyFont="1" applyFill="1" applyBorder="1" applyAlignment="1" applyProtection="1">
      <alignment/>
      <protection locked="0"/>
    </xf>
    <xf numFmtId="0" fontId="34" fillId="38" borderId="2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3" fontId="7" fillId="0" borderId="0" xfId="0" applyNumberFormat="1" applyFont="1" applyAlignment="1">
      <alignment/>
    </xf>
    <xf numFmtId="0" fontId="13" fillId="0" borderId="0" xfId="0" applyFont="1" applyAlignment="1">
      <alignment/>
    </xf>
    <xf numFmtId="166" fontId="7" fillId="0" borderId="28" xfId="0" applyNumberFormat="1" applyFont="1" applyBorder="1" applyAlignment="1">
      <alignment vertical="center"/>
    </xf>
    <xf numFmtId="0" fontId="12" fillId="18" borderId="28" xfId="0" applyFont="1" applyFill="1" applyBorder="1" applyAlignment="1">
      <alignment vertical="center"/>
    </xf>
    <xf numFmtId="0" fontId="12" fillId="18" borderId="27" xfId="0" applyFont="1" applyFill="1" applyBorder="1" applyAlignment="1">
      <alignment vertical="center"/>
    </xf>
    <xf numFmtId="0" fontId="12" fillId="18" borderId="26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 wrapText="1"/>
    </xf>
    <xf numFmtId="10" fontId="34" fillId="49" borderId="38" xfId="108" applyNumberFormat="1" applyFont="1" applyFill="1" applyBorder="1" applyAlignment="1" applyProtection="1">
      <alignment horizontal="center" vertical="center"/>
      <protection/>
    </xf>
    <xf numFmtId="0" fontId="34" fillId="49" borderId="0" xfId="0" applyFont="1" applyFill="1" applyBorder="1" applyAlignment="1" applyProtection="1">
      <alignment horizontal="center" vertical="center" wrapText="1"/>
      <protection/>
    </xf>
    <xf numFmtId="10" fontId="34" fillId="49" borderId="0" xfId="108" applyNumberFormat="1" applyFont="1" applyFill="1" applyBorder="1" applyAlignment="1" applyProtection="1">
      <alignment horizontal="center" vertical="center"/>
      <protection/>
    </xf>
    <xf numFmtId="10" fontId="35" fillId="0" borderId="31" xfId="0" applyNumberFormat="1" applyFont="1" applyBorder="1" applyAlignment="1">
      <alignment/>
    </xf>
    <xf numFmtId="10" fontId="35" fillId="0" borderId="0" xfId="0" applyNumberFormat="1" applyFont="1" applyBorder="1" applyAlignment="1">
      <alignment/>
    </xf>
    <xf numFmtId="4" fontId="35" fillId="11" borderId="25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 horizontal="center"/>
    </xf>
    <xf numFmtId="0" fontId="34" fillId="0" borderId="0" xfId="0" applyFont="1" applyFill="1" applyBorder="1" applyAlignment="1" applyProtection="1">
      <alignment vertical="center" wrapText="1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69" fontId="3" fillId="0" borderId="26" xfId="102" applyNumberFormat="1" applyFont="1" applyFill="1" applyBorder="1" applyAlignment="1">
      <alignment vertical="center" wrapText="1"/>
    </xf>
    <xf numFmtId="169" fontId="2" fillId="0" borderId="27" xfId="102" applyNumberFormat="1" applyFont="1" applyFill="1" applyBorder="1" applyAlignment="1">
      <alignment vertical="center" wrapText="1"/>
    </xf>
    <xf numFmtId="169" fontId="2" fillId="0" borderId="28" xfId="102" applyNumberFormat="1" applyFont="1" applyFill="1" applyBorder="1" applyAlignment="1">
      <alignment vertical="center" wrapText="1"/>
    </xf>
    <xf numFmtId="0" fontId="3" fillId="0" borderId="28" xfId="97" applyFont="1" applyFill="1" applyBorder="1" applyAlignment="1">
      <alignment horizontal="left" vertical="center" wrapText="1" indent="2"/>
      <protection/>
    </xf>
    <xf numFmtId="0" fontId="3" fillId="0" borderId="27" xfId="97" applyFont="1" applyFill="1" applyBorder="1" applyAlignment="1">
      <alignment horizontal="left" vertical="center" wrapText="1" indent="2"/>
      <protection/>
    </xf>
    <xf numFmtId="0" fontId="3" fillId="0" borderId="36" xfId="97" applyFont="1" applyBorder="1" applyAlignment="1">
      <alignment horizontal="center" vertical="center"/>
      <protection/>
    </xf>
    <xf numFmtId="10" fontId="3" fillId="0" borderId="36" xfId="97" applyNumberFormat="1" applyFont="1" applyFill="1" applyBorder="1" applyAlignment="1">
      <alignment vertical="center"/>
      <protection/>
    </xf>
    <xf numFmtId="169" fontId="3" fillId="0" borderId="26" xfId="102" applyNumberFormat="1" applyFont="1" applyFill="1" applyBorder="1" applyAlignment="1">
      <alignment horizontal="center" vertical="center" wrapText="1"/>
    </xf>
    <xf numFmtId="169" fontId="2" fillId="0" borderId="27" xfId="102" applyNumberFormat="1" applyFont="1" applyFill="1" applyBorder="1" applyAlignment="1">
      <alignment horizontal="center" vertical="center" wrapText="1"/>
    </xf>
    <xf numFmtId="169" fontId="2" fillId="0" borderId="28" xfId="102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3" fillId="0" borderId="0" xfId="0" applyFont="1" applyAlignment="1">
      <alignment/>
    </xf>
    <xf numFmtId="169" fontId="12" fillId="29" borderId="0" xfId="102" applyNumberFormat="1" applyFont="1" applyFill="1" applyAlignment="1">
      <alignment vertical="center"/>
    </xf>
    <xf numFmtId="169" fontId="12" fillId="18" borderId="0" xfId="102" applyNumberFormat="1" applyFont="1" applyFill="1" applyAlignment="1">
      <alignment vertical="center"/>
    </xf>
    <xf numFmtId="169" fontId="12" fillId="47" borderId="0" xfId="102" applyNumberFormat="1" applyFont="1" applyFill="1" applyAlignment="1">
      <alignment vertical="center"/>
    </xf>
    <xf numFmtId="0" fontId="39" fillId="0" borderId="0" xfId="0" applyFont="1" applyAlignment="1">
      <alignment vertical="center"/>
    </xf>
    <xf numFmtId="10" fontId="7" fillId="0" borderId="26" xfId="0" applyNumberFormat="1" applyFont="1" applyFill="1" applyBorder="1" applyAlignment="1">
      <alignment vertical="center"/>
    </xf>
    <xf numFmtId="10" fontId="7" fillId="0" borderId="28" xfId="0" applyNumberFormat="1" applyFont="1" applyFill="1" applyBorder="1" applyAlignment="1">
      <alignment vertical="center"/>
    </xf>
    <xf numFmtId="169" fontId="7" fillId="0" borderId="26" xfId="102" applyNumberFormat="1" applyFont="1" applyFill="1" applyBorder="1" applyAlignment="1">
      <alignment vertical="center"/>
    </xf>
    <xf numFmtId="169" fontId="7" fillId="0" borderId="27" xfId="102" applyNumberFormat="1" applyFont="1" applyFill="1" applyBorder="1" applyAlignment="1">
      <alignment vertical="center"/>
    </xf>
    <xf numFmtId="169" fontId="7" fillId="0" borderId="39" xfId="102" applyNumberFormat="1" applyFont="1" applyFill="1" applyBorder="1" applyAlignment="1">
      <alignment vertical="center"/>
    </xf>
    <xf numFmtId="169" fontId="7" fillId="0" borderId="28" xfId="102" applyNumberFormat="1" applyFont="1" applyFill="1" applyBorder="1" applyAlignment="1">
      <alignment vertical="center"/>
    </xf>
    <xf numFmtId="0" fontId="2" fillId="0" borderId="26" xfId="97" applyFont="1" applyFill="1" applyBorder="1" applyAlignment="1">
      <alignment horizontal="left" vertical="center" wrapText="1" indent="1"/>
      <protection/>
    </xf>
    <xf numFmtId="169" fontId="2" fillId="0" borderId="26" xfId="102" applyNumberFormat="1" applyFont="1" applyFill="1" applyBorder="1" applyAlignment="1">
      <alignment horizontal="center" vertical="center" wrapText="1"/>
    </xf>
    <xf numFmtId="169" fontId="2" fillId="0" borderId="26" xfId="102" applyNumberFormat="1" applyFont="1" applyFill="1" applyBorder="1" applyAlignment="1">
      <alignment vertical="center" wrapText="1"/>
    </xf>
    <xf numFmtId="0" fontId="3" fillId="0" borderId="40" xfId="97" applyFont="1" applyFill="1" applyBorder="1" applyAlignment="1">
      <alignment vertical="center" wrapText="1"/>
      <protection/>
    </xf>
    <xf numFmtId="0" fontId="2" fillId="0" borderId="39" xfId="96" applyFont="1" applyFill="1" applyBorder="1" applyAlignment="1">
      <alignment horizontal="left" vertical="center" wrapText="1" indent="2"/>
      <protection/>
    </xf>
    <xf numFmtId="0" fontId="11" fillId="0" borderId="41" xfId="96" applyFont="1" applyFill="1" applyBorder="1" applyAlignment="1">
      <alignment horizontal="center" vertical="center"/>
      <protection/>
    </xf>
    <xf numFmtId="0" fontId="11" fillId="0" borderId="41" xfId="96" applyFont="1" applyFill="1" applyBorder="1" applyAlignment="1">
      <alignment horizontal="left" vertical="center" wrapText="1" indent="1"/>
      <protection/>
    </xf>
    <xf numFmtId="0" fontId="43" fillId="0" borderId="0" xfId="0" applyFont="1" applyAlignment="1" quotePrefix="1">
      <alignment/>
    </xf>
    <xf numFmtId="0" fontId="2" fillId="0" borderId="39" xfId="97" applyFont="1" applyBorder="1" applyAlignment="1">
      <alignment horizontal="center" vertical="center"/>
      <protection/>
    </xf>
    <xf numFmtId="166" fontId="2" fillId="0" borderId="39" xfId="97" applyNumberFormat="1" applyFont="1" applyFill="1" applyBorder="1" applyAlignment="1">
      <alignment vertical="center"/>
      <protection/>
    </xf>
    <xf numFmtId="0" fontId="2" fillId="0" borderId="27" xfId="96" applyFont="1" applyFill="1" applyBorder="1" applyAlignment="1">
      <alignment horizontal="left" vertical="center" wrapText="1" indent="3"/>
      <protection/>
    </xf>
    <xf numFmtId="0" fontId="2" fillId="0" borderId="28" xfId="96" applyFont="1" applyFill="1" applyBorder="1" applyAlignment="1">
      <alignment horizontal="left" vertical="center" wrapText="1" indent="3"/>
      <protection/>
    </xf>
    <xf numFmtId="0" fontId="2" fillId="0" borderId="27" xfId="97" applyFont="1" applyFill="1" applyBorder="1" applyAlignment="1" quotePrefix="1">
      <alignment horizontal="left" vertical="center" wrapText="1" indent="1"/>
      <protection/>
    </xf>
    <xf numFmtId="165" fontId="2" fillId="0" borderId="26" xfId="97" applyNumberFormat="1" applyFont="1" applyFill="1" applyBorder="1" applyAlignment="1">
      <alignment horizontal="center" vertical="center"/>
      <protection/>
    </xf>
    <xf numFmtId="169" fontId="2" fillId="0" borderId="26" xfId="96" applyNumberFormat="1" applyFont="1" applyFill="1" applyBorder="1" applyAlignment="1" applyProtection="1">
      <alignment vertical="center"/>
      <protection locked="0"/>
    </xf>
    <xf numFmtId="166" fontId="2" fillId="0" borderId="27" xfId="96" applyNumberFormat="1" applyFont="1" applyFill="1" applyBorder="1" applyAlignment="1" applyProtection="1">
      <alignment vertical="center"/>
      <protection locked="0"/>
    </xf>
    <xf numFmtId="166" fontId="2" fillId="0" borderId="28" xfId="96" applyNumberFormat="1" applyFont="1" applyFill="1" applyBorder="1" applyAlignment="1" applyProtection="1">
      <alignment vertical="center"/>
      <protection locked="0"/>
    </xf>
    <xf numFmtId="0" fontId="3" fillId="0" borderId="26" xfId="96" applyFont="1" applyFill="1" applyBorder="1" applyAlignment="1">
      <alignment horizontal="left" vertical="center" wrapText="1"/>
      <protection/>
    </xf>
    <xf numFmtId="0" fontId="11" fillId="0" borderId="27" xfId="96" applyFont="1" applyFill="1" applyBorder="1" applyAlignment="1" quotePrefix="1">
      <alignment horizontal="left" vertical="center" wrapText="1" indent="1"/>
      <protection/>
    </xf>
    <xf numFmtId="166" fontId="2" fillId="0" borderId="36" xfId="96" applyNumberFormat="1" applyFont="1" applyFill="1" applyBorder="1" applyAlignment="1" applyProtection="1">
      <alignment vertical="center"/>
      <protection locked="0"/>
    </xf>
    <xf numFmtId="169" fontId="2" fillId="0" borderId="27" xfId="96" applyNumberFormat="1" applyFont="1" applyFill="1" applyBorder="1" applyAlignment="1" applyProtection="1">
      <alignment vertical="center"/>
      <protection locked="0"/>
    </xf>
    <xf numFmtId="169" fontId="2" fillId="0" borderId="28" xfId="96" applyNumberFormat="1" applyFont="1" applyFill="1" applyBorder="1" applyAlignment="1" applyProtection="1">
      <alignment vertical="center"/>
      <protection locked="0"/>
    </xf>
    <xf numFmtId="166" fontId="2" fillId="0" borderId="27" xfId="96" applyNumberFormat="1" applyFont="1" applyFill="1" applyBorder="1" applyAlignment="1" applyProtection="1">
      <alignment horizontal="center" vertical="center"/>
      <protection locked="0"/>
    </xf>
    <xf numFmtId="0" fontId="10" fillId="0" borderId="27" xfId="0" applyFont="1" applyBorder="1" applyAlignment="1">
      <alignment vertical="top" wrapText="1"/>
    </xf>
    <xf numFmtId="166" fontId="2" fillId="0" borderId="28" xfId="96" applyNumberFormat="1" applyFont="1" applyFill="1" applyBorder="1" applyAlignment="1" applyProtection="1">
      <alignment horizontal="center" vertical="center"/>
      <protection locked="0"/>
    </xf>
    <xf numFmtId="0" fontId="10" fillId="0" borderId="28" xfId="0" applyFont="1" applyBorder="1" applyAlignment="1">
      <alignment horizontal="left" vertical="top" wrapText="1" indent="1"/>
    </xf>
    <xf numFmtId="0" fontId="2" fillId="0" borderId="28" xfId="97" applyFont="1" applyFill="1" applyBorder="1" applyAlignment="1">
      <alignment horizontal="left" vertical="center" wrapText="1" indent="3"/>
      <protection/>
    </xf>
    <xf numFmtId="166" fontId="7" fillId="0" borderId="39" xfId="0" applyNumberFormat="1" applyFont="1" applyBorder="1" applyAlignment="1">
      <alignment vertical="center"/>
    </xf>
    <xf numFmtId="166" fontId="7" fillId="0" borderId="26" xfId="0" applyNumberFormat="1" applyFont="1" applyBorder="1" applyAlignment="1">
      <alignment horizontal="center" vertical="center"/>
    </xf>
    <xf numFmtId="166" fontId="7" fillId="0" borderId="27" xfId="0" applyNumberFormat="1" applyFont="1" applyBorder="1" applyAlignment="1">
      <alignment horizontal="center" vertical="center"/>
    </xf>
    <xf numFmtId="166" fontId="7" fillId="0" borderId="39" xfId="0" applyNumberFormat="1" applyFont="1" applyBorder="1" applyAlignment="1">
      <alignment horizontal="center" vertical="center"/>
    </xf>
    <xf numFmtId="166" fontId="7" fillId="0" borderId="28" xfId="0" applyNumberFormat="1" applyFont="1" applyBorder="1" applyAlignment="1">
      <alignment horizontal="center" vertical="center"/>
    </xf>
    <xf numFmtId="169" fontId="7" fillId="0" borderId="26" xfId="0" applyNumberFormat="1" applyFont="1" applyBorder="1" applyAlignment="1">
      <alignment vertical="center"/>
    </xf>
    <xf numFmtId="169" fontId="7" fillId="0" borderId="36" xfId="0" applyNumberFormat="1" applyFont="1" applyBorder="1" applyAlignment="1">
      <alignment vertical="center"/>
    </xf>
    <xf numFmtId="169" fontId="7" fillId="0" borderId="27" xfId="0" applyNumberFormat="1" applyFont="1" applyBorder="1" applyAlignment="1">
      <alignment vertical="center"/>
    </xf>
    <xf numFmtId="169" fontId="7" fillId="0" borderId="39" xfId="0" applyNumberFormat="1" applyFont="1" applyBorder="1" applyAlignment="1">
      <alignment vertical="center"/>
    </xf>
    <xf numFmtId="169" fontId="7" fillId="0" borderId="28" xfId="0" applyNumberFormat="1" applyFont="1" applyBorder="1" applyAlignment="1">
      <alignment vertical="center"/>
    </xf>
    <xf numFmtId="0" fontId="3" fillId="0" borderId="26" xfId="97" applyFont="1" applyFill="1" applyBorder="1" applyAlignment="1">
      <alignment horizontal="left" vertical="center" wrapText="1"/>
      <protection/>
    </xf>
    <xf numFmtId="0" fontId="40" fillId="7" borderId="27" xfId="0" applyFont="1" applyFill="1" applyBorder="1" applyAlignment="1">
      <alignment horizontal="right" vertical="center" wrapText="1"/>
    </xf>
    <xf numFmtId="0" fontId="2" fillId="0" borderId="36" xfId="97" applyFont="1" applyFill="1" applyBorder="1" applyAlignment="1">
      <alignment vertical="center" wrapText="1"/>
      <protection/>
    </xf>
    <xf numFmtId="0" fontId="14" fillId="47" borderId="36" xfId="0" applyFont="1" applyFill="1" applyBorder="1" applyAlignment="1">
      <alignment horizontal="right" wrapText="1"/>
    </xf>
    <xf numFmtId="0" fontId="2" fillId="0" borderId="26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Alignment="1">
      <alignment/>
    </xf>
    <xf numFmtId="169" fontId="2" fillId="47" borderId="0" xfId="104" applyNumberFormat="1" applyFont="1" applyFill="1" applyAlignment="1">
      <alignment vertical="center"/>
    </xf>
    <xf numFmtId="169" fontId="2" fillId="18" borderId="0" xfId="104" applyNumberFormat="1" applyFont="1" applyFill="1" applyAlignment="1">
      <alignment vertical="center"/>
    </xf>
    <xf numFmtId="169" fontId="2" fillId="29" borderId="0" xfId="104" applyNumberFormat="1" applyFont="1" applyFill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27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wrapText="1" indent="2"/>
    </xf>
    <xf numFmtId="0" fontId="2" fillId="0" borderId="28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 horizontal="left" vertical="center" wrapText="1" indent="1"/>
    </xf>
    <xf numFmtId="0" fontId="3" fillId="0" borderId="27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wrapText="1" indent="1"/>
    </xf>
    <xf numFmtId="0" fontId="3" fillId="0" borderId="0" xfId="0" applyFont="1" applyAlignment="1">
      <alignment/>
    </xf>
    <xf numFmtId="166" fontId="3" fillId="0" borderId="42" xfId="96" applyNumberFormat="1" applyFont="1" applyFill="1" applyBorder="1" applyAlignment="1" applyProtection="1">
      <alignment vertical="center"/>
      <protection locked="0"/>
    </xf>
    <xf numFmtId="166" fontId="3" fillId="0" borderId="40" xfId="96" applyNumberFormat="1" applyFont="1" applyFill="1" applyBorder="1" applyAlignment="1" applyProtection="1">
      <alignment vertical="center"/>
      <protection locked="0"/>
    </xf>
    <xf numFmtId="166" fontId="3" fillId="0" borderId="38" xfId="96" applyNumberFormat="1" applyFont="1" applyFill="1" applyBorder="1" applyAlignment="1" applyProtection="1">
      <alignment vertical="center"/>
      <protection locked="0"/>
    </xf>
    <xf numFmtId="166" fontId="3" fillId="0" borderId="26" xfId="96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/>
    </xf>
    <xf numFmtId="166" fontId="3" fillId="0" borderId="27" xfId="96" applyNumberFormat="1" applyFont="1" applyFill="1" applyBorder="1" applyAlignment="1" applyProtection="1">
      <alignment vertical="center"/>
      <protection locked="0"/>
    </xf>
    <xf numFmtId="166" fontId="3" fillId="0" borderId="28" xfId="96" applyNumberFormat="1" applyFont="1" applyFill="1" applyBorder="1" applyAlignment="1" applyProtection="1">
      <alignment vertical="center"/>
      <protection locked="0"/>
    </xf>
    <xf numFmtId="10" fontId="34" fillId="49" borderId="42" xfId="108" applyNumberFormat="1" applyFont="1" applyFill="1" applyBorder="1" applyAlignment="1" applyProtection="1">
      <alignment horizontal="center" vertical="center"/>
      <protection/>
    </xf>
    <xf numFmtId="10" fontId="34" fillId="49" borderId="40" xfId="108" applyNumberFormat="1" applyFont="1" applyFill="1" applyBorder="1" applyAlignment="1" applyProtection="1">
      <alignment horizontal="center" vertical="center"/>
      <protection/>
    </xf>
    <xf numFmtId="10" fontId="34" fillId="49" borderId="38" xfId="108" applyNumberFormat="1" applyFont="1" applyFill="1" applyBorder="1" applyAlignment="1" applyProtection="1">
      <alignment horizontal="center" vertical="center"/>
      <protection/>
    </xf>
    <xf numFmtId="0" fontId="34" fillId="49" borderId="43" xfId="0" applyFont="1" applyFill="1" applyBorder="1" applyAlignment="1" applyProtection="1">
      <alignment horizontal="center" vertical="center"/>
      <protection locked="0"/>
    </xf>
    <xf numFmtId="0" fontId="34" fillId="49" borderId="44" xfId="0" applyFont="1" applyFill="1" applyBorder="1" applyAlignment="1" applyProtection="1">
      <alignment horizontal="center" vertical="center"/>
      <protection locked="0"/>
    </xf>
    <xf numFmtId="0" fontId="34" fillId="49" borderId="45" xfId="0" applyFont="1" applyFill="1" applyBorder="1" applyAlignment="1" applyProtection="1">
      <alignment horizontal="center" vertical="center"/>
      <protection locked="0"/>
    </xf>
    <xf numFmtId="0" fontId="34" fillId="49" borderId="46" xfId="0" applyFont="1" applyFill="1" applyBorder="1" applyAlignment="1" applyProtection="1">
      <alignment horizontal="center" vertical="center"/>
      <protection locked="0"/>
    </xf>
    <xf numFmtId="0" fontId="34" fillId="49" borderId="0" xfId="0" applyFont="1" applyFill="1" applyBorder="1" applyAlignment="1" applyProtection="1">
      <alignment horizontal="center" vertical="center"/>
      <protection locked="0"/>
    </xf>
    <xf numFmtId="0" fontId="34" fillId="49" borderId="47" xfId="0" applyFont="1" applyFill="1" applyBorder="1" applyAlignment="1" applyProtection="1">
      <alignment horizontal="center" vertical="center"/>
      <protection locked="0"/>
    </xf>
    <xf numFmtId="0" fontId="34" fillId="49" borderId="48" xfId="0" applyFont="1" applyFill="1" applyBorder="1" applyAlignment="1" applyProtection="1">
      <alignment horizontal="center" vertical="center"/>
      <protection locked="0"/>
    </xf>
    <xf numFmtId="0" fontId="34" fillId="49" borderId="29" xfId="0" applyFont="1" applyFill="1" applyBorder="1" applyAlignment="1" applyProtection="1">
      <alignment horizontal="center" vertical="center"/>
      <protection locked="0"/>
    </xf>
    <xf numFmtId="0" fontId="34" fillId="49" borderId="49" xfId="0" applyFont="1" applyFill="1" applyBorder="1" applyAlignment="1" applyProtection="1">
      <alignment horizontal="center" vertical="center"/>
      <protection locked="0"/>
    </xf>
    <xf numFmtId="0" fontId="34" fillId="49" borderId="50" xfId="0" applyFont="1" applyFill="1" applyBorder="1" applyAlignment="1" applyProtection="1">
      <alignment horizontal="center"/>
      <protection locked="0"/>
    </xf>
    <xf numFmtId="0" fontId="34" fillId="49" borderId="51" xfId="0" applyFont="1" applyFill="1" applyBorder="1" applyAlignment="1" applyProtection="1">
      <alignment horizontal="center"/>
      <protection locked="0"/>
    </xf>
    <xf numFmtId="0" fontId="38" fillId="49" borderId="0" xfId="0" applyFont="1" applyFill="1" applyBorder="1" applyAlignment="1" applyProtection="1">
      <alignment horizontal="center" wrapText="1"/>
      <protection locked="0"/>
    </xf>
  </cellXfs>
  <cellStyles count="110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 2" xfId="86"/>
    <cellStyle name="Normalny 2 2" xfId="87"/>
    <cellStyle name="Normalny 2 3" xfId="88"/>
    <cellStyle name="Normalny 2 4" xfId="89"/>
    <cellStyle name="Normalny 2 5" xfId="90"/>
    <cellStyle name="Normalny 2 6" xfId="91"/>
    <cellStyle name="Normalny 2 7" xfId="92"/>
    <cellStyle name="Normalny 3" xfId="93"/>
    <cellStyle name="Normalny 4" xfId="94"/>
    <cellStyle name="Normalny 5" xfId="95"/>
    <cellStyle name="Normalny 6" xfId="96"/>
    <cellStyle name="Normalny 6 2" xfId="97"/>
    <cellStyle name="Normalny 7" xfId="98"/>
    <cellStyle name="Normalny 7 2" xfId="99"/>
    <cellStyle name="Obliczenia" xfId="100"/>
    <cellStyle name="Obliczenia 2" xfId="101"/>
    <cellStyle name="Percent" xfId="102"/>
    <cellStyle name="Procentowy 2" xfId="103"/>
    <cellStyle name="Procentowy 2 2" xfId="104"/>
    <cellStyle name="Procentowy 2 3" xfId="105"/>
    <cellStyle name="Procentowy 3" xfId="106"/>
    <cellStyle name="Procentowy 3 2" xfId="107"/>
    <cellStyle name="Procentowy 4" xfId="108"/>
    <cellStyle name="Procentowy 5" xfId="109"/>
    <cellStyle name="Suma" xfId="110"/>
    <cellStyle name="Suma 2" xfId="111"/>
    <cellStyle name="Tekst objaśnienia" xfId="112"/>
    <cellStyle name="Tekst objaśnienia 2" xfId="113"/>
    <cellStyle name="Tekst ostrzeżenia" xfId="114"/>
    <cellStyle name="Tekst ostrzeżenia 2" xfId="115"/>
    <cellStyle name="Tytuł" xfId="116"/>
    <cellStyle name="Tytuł 2" xfId="117"/>
    <cellStyle name="Uwaga" xfId="118"/>
    <cellStyle name="Uwaga 2" xfId="119"/>
    <cellStyle name="Currency" xfId="120"/>
    <cellStyle name="Currency [0]" xfId="121"/>
    <cellStyle name="Złe" xfId="122"/>
    <cellStyle name="Złe 2" xfId="123"/>
  </cellStyles>
  <dxfs count="27"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566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Zal_1_WPF_uklad_budzetu_ryzyko!$B$10</c:f>
              <c:strCache>
                <c:ptCount val="1"/>
                <c:pt idx="0">
                  <c:v> dochody majątkowe,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Zal_1_WPF_uklad_budzetu_ryzyko!$C$10:$M$10</c:f>
              <c:numCache>
                <c:ptCount val="11"/>
                <c:pt idx="0">
                  <c:v>1702017</c:v>
                </c:pt>
                <c:pt idx="1">
                  <c:v>668828</c:v>
                </c:pt>
                <c:pt idx="2">
                  <c:v>510000</c:v>
                </c:pt>
                <c:pt idx="3">
                  <c:v>1934394</c:v>
                </c:pt>
                <c:pt idx="4">
                  <c:v>510000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Zal_1_WPF_uklad_budzetu_ryzyko!$B$11</c:f>
              <c:strCache>
                <c:ptCount val="1"/>
                <c:pt idx="0">
                  <c:v>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Zal_1_WPF_uklad_budzetu_ryzyko!$C$11:$M$11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4430255"/>
        <c:axId val="41436840"/>
      </c:lineChart>
      <c:catAx>
        <c:axId val="34430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436840"/>
        <c:crosses val="autoZero"/>
        <c:auto val="1"/>
        <c:lblOffset val="100"/>
        <c:tickLblSkip val="1"/>
        <c:noMultiLvlLbl val="0"/>
      </c:catAx>
      <c:valAx>
        <c:axId val="414368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30255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775"/>
          <c:y val="0.01075"/>
          <c:w val="0.855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558"/>
          <c:h val="0.927"/>
        </c:manualLayout>
      </c:layout>
      <c:lineChart>
        <c:grouping val="standard"/>
        <c:varyColors val="0"/>
        <c:ser>
          <c:idx val="2"/>
          <c:order val="0"/>
          <c:tx>
            <c:strRef>
              <c:f>Zal_1_WPF_uklad_budzetu_ryzyko!$B$43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Zal_1_WPF_uklad_budzetu_ryzyko!$C$43:$M$43</c:f>
              <c:numCache>
                <c:ptCount val="11"/>
                <c:pt idx="0">
                  <c:v>12078400</c:v>
                </c:pt>
                <c:pt idx="1">
                  <c:v>11703774</c:v>
                </c:pt>
                <c:pt idx="2">
                  <c:v>11292508</c:v>
                </c:pt>
                <c:pt idx="3">
                  <c:v>10854211</c:v>
                </c:pt>
                <c:pt idx="4">
                  <c:v>9160211</c:v>
                </c:pt>
                <c:pt idx="5">
                  <c:v>7210211</c:v>
                </c:pt>
                <c:pt idx="6">
                  <c:v>4760211</c:v>
                </c:pt>
                <c:pt idx="7">
                  <c:v>4260211</c:v>
                </c:pt>
                <c:pt idx="8">
                  <c:v>1693635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Zal_1_WPF_uklad_budzetu_ryzyko!$B$40</c:f>
              <c:strCache>
                <c:ptCount val="1"/>
                <c:pt idx="0">
                  <c:v>Spłaty rat kapitałowych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Zal_1_WPF_uklad_budzetu_ryzyko!$C$40:$M$40</c:f>
              <c:numCache>
                <c:ptCount val="11"/>
                <c:pt idx="0">
                  <c:v>3670600</c:v>
                </c:pt>
                <c:pt idx="1">
                  <c:v>781000</c:v>
                </c:pt>
                <c:pt idx="2">
                  <c:v>1396900</c:v>
                </c:pt>
                <c:pt idx="3">
                  <c:v>1500000</c:v>
                </c:pt>
                <c:pt idx="4">
                  <c:v>1694000</c:v>
                </c:pt>
                <c:pt idx="5">
                  <c:v>1950000</c:v>
                </c:pt>
                <c:pt idx="6">
                  <c:v>2450000</c:v>
                </c:pt>
                <c:pt idx="7">
                  <c:v>500000</c:v>
                </c:pt>
                <c:pt idx="8">
                  <c:v>2566576</c:v>
                </c:pt>
                <c:pt idx="9">
                  <c:v>1693635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Zal_1_WPF_uklad_budzetu_ryzyko!$B$22</c:f>
              <c:strCache>
                <c:ptCount val="1"/>
                <c:pt idx="0">
                  <c:v> wydatki bieżące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Zal_1_WPF_uklad_budzetu_ryzyko!$C$22:$M$22</c:f>
              <c:numCache>
                <c:ptCount val="11"/>
                <c:pt idx="0">
                  <c:v>730000</c:v>
                </c:pt>
                <c:pt idx="1">
                  <c:v>610000</c:v>
                </c:pt>
                <c:pt idx="2">
                  <c:v>540000</c:v>
                </c:pt>
                <c:pt idx="3">
                  <c:v>500000</c:v>
                </c:pt>
                <c:pt idx="4">
                  <c:v>350000</c:v>
                </c:pt>
                <c:pt idx="5">
                  <c:v>250000</c:v>
                </c:pt>
                <c:pt idx="6">
                  <c:v>120000</c:v>
                </c:pt>
                <c:pt idx="7">
                  <c:v>216400</c:v>
                </c:pt>
                <c:pt idx="8">
                  <c:v>130000</c:v>
                </c:pt>
                <c:pt idx="9">
                  <c:v>120000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7606201"/>
        <c:axId val="24238082"/>
      </c:lineChart>
      <c:catAx>
        <c:axId val="17606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238082"/>
        <c:crosses val="autoZero"/>
        <c:auto val="1"/>
        <c:lblOffset val="100"/>
        <c:tickLblSkip val="1"/>
        <c:noMultiLvlLbl val="0"/>
      </c:catAx>
      <c:valAx>
        <c:axId val="242380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06201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85"/>
          <c:y val="0.01075"/>
          <c:w val="0.7707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0775"/>
          <c:w val="0.95625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Zal_1_WPF_uklad_budzetu_ryzyko!$B$49</c:f>
              <c:strCache>
                <c:ptCount val="1"/>
                <c:pt idx="0">
                  <c:v>Planowana łączna kwota spłaty zobowiązań/dochody ogółem - max 15% z art. 169 sufp (po uwzględnieniu wyłączeń)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Zal_1_WPF_uklad_budzetu_ryzyko!$C$49:$M$49</c:f>
              <c:numCache>
                <c:ptCount val="11"/>
                <c:pt idx="0">
                  <c:v>0.1365</c:v>
                </c:pt>
                <c:pt idx="1">
                  <c:v>0.0442</c:v>
                </c:pt>
                <c:pt idx="2">
                  <c:v>0.061</c:v>
                </c:pt>
                <c:pt idx="3">
                  <c:v>0.0584</c:v>
                </c:pt>
                <c:pt idx="4">
                  <c:v>0.0618</c:v>
                </c:pt>
                <c:pt idx="5">
                  <c:v>0.0649</c:v>
                </c:pt>
                <c:pt idx="6">
                  <c:v>0.0734</c:v>
                </c:pt>
                <c:pt idx="7">
                  <c:v>0.0203</c:v>
                </c:pt>
                <c:pt idx="8">
                  <c:v>0.0728</c:v>
                </c:pt>
                <c:pt idx="9">
                  <c:v>0.0476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6816147"/>
        <c:axId val="17127596"/>
      </c:lineChart>
      <c:catAx>
        <c:axId val="16816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27596"/>
        <c:crosses val="autoZero"/>
        <c:auto val="1"/>
        <c:lblOffset val="100"/>
        <c:tickLblSkip val="1"/>
        <c:noMultiLvlLbl val="0"/>
      </c:catAx>
      <c:valAx>
        <c:axId val="171275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161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0725"/>
          <c:w val="0.898"/>
          <c:h val="0.2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0675"/>
          <c:w val="0.95625"/>
          <c:h val="0.75475"/>
        </c:manualLayout>
      </c:layout>
      <c:lineChart>
        <c:grouping val="standard"/>
        <c:varyColors val="0"/>
        <c:ser>
          <c:idx val="2"/>
          <c:order val="0"/>
          <c:tx>
            <c:strRef>
              <c:f>Zal_1_WPF_uklad_budzetu_ryzyko!$B$47</c:f>
              <c:strCache>
                <c:ptCount val="1"/>
                <c:pt idx="0">
                  <c:v>Zadłużenie/dochody ogółem - max 60% z art. 170 sufp (po uwzględnieniu wyłączeń)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Zal_1_WPF_uklad_budzetu_ryzyko!$C$47:$M$47</c:f>
              <c:numCache>
                <c:ptCount val="11"/>
                <c:pt idx="0">
                  <c:v>0.3754</c:v>
                </c:pt>
                <c:pt idx="1">
                  <c:v>0.3747</c:v>
                </c:pt>
                <c:pt idx="2">
                  <c:v>0.3577</c:v>
                </c:pt>
                <c:pt idx="3">
                  <c:v>0.3188</c:v>
                </c:pt>
                <c:pt idx="4">
                  <c:v>0.2771</c:v>
                </c:pt>
                <c:pt idx="5">
                  <c:v>0.2128</c:v>
                </c:pt>
                <c:pt idx="6">
                  <c:v>0.136</c:v>
                </c:pt>
                <c:pt idx="7">
                  <c:v>0.1209</c:v>
                </c:pt>
                <c:pt idx="8">
                  <c:v>0.0457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9930637"/>
        <c:axId val="45158006"/>
      </c:lineChart>
      <c:catAx>
        <c:axId val="19930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58006"/>
        <c:crosses val="autoZero"/>
        <c:auto val="1"/>
        <c:lblOffset val="100"/>
        <c:tickLblSkip val="1"/>
        <c:noMultiLvlLbl val="0"/>
      </c:catAx>
      <c:valAx>
        <c:axId val="451580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306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45"/>
          <c:y val="0.01075"/>
          <c:w val="0.9065"/>
          <c:h val="0.12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8675"/>
          <c:w val="0.9562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Zal_1_WPF_uklad_budzetu_ryzyko!$B$52</c:f>
              <c:strCache>
                <c:ptCount val="1"/>
                <c:pt idx="0">
                  <c:v>Maksymalny dopuszczalny wskaźnik spłaty z art. 243 ufp (planistyczny)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Zal_1_WPF_uklad_budzetu_ryzyko!$C$52:$M$52</c:f>
              <c:numCache>
                <c:ptCount val="11"/>
                <c:pt idx="0">
                  <c:v>0.0705</c:v>
                </c:pt>
                <c:pt idx="1">
                  <c:v>0.0719</c:v>
                </c:pt>
                <c:pt idx="2">
                  <c:v>0.0859</c:v>
                </c:pt>
                <c:pt idx="3">
                  <c:v>0.0891</c:v>
                </c:pt>
                <c:pt idx="4">
                  <c:v>0.078</c:v>
                </c:pt>
                <c:pt idx="5">
                  <c:v>0.0689</c:v>
                </c:pt>
                <c:pt idx="6">
                  <c:v>0.0737</c:v>
                </c:pt>
                <c:pt idx="7">
                  <c:v>0.0795</c:v>
                </c:pt>
                <c:pt idx="8">
                  <c:v>0.0775</c:v>
                </c:pt>
                <c:pt idx="9">
                  <c:v>0.0825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Zal_1_WPF_uklad_budzetu_ryzyko!$B$57</c:f>
              <c:strCache>
                <c:ptCount val="1"/>
                <c:pt idx="0">
                  <c:v>Relacja planowanej łącznej kwoty spłaty zobowiązań do dochodów (po uwzględnieniu wyłączeń)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Zal_1_WPF_uklad_budzetu_ryzyko!$C$57:$M$57</c:f>
              <c:numCache>
                <c:ptCount val="11"/>
                <c:pt idx="0">
                  <c:v>0.1365</c:v>
                </c:pt>
                <c:pt idx="1">
                  <c:v>0.0442</c:v>
                </c:pt>
                <c:pt idx="2">
                  <c:v>0.061</c:v>
                </c:pt>
                <c:pt idx="3">
                  <c:v>0.0584</c:v>
                </c:pt>
                <c:pt idx="4">
                  <c:v>0.0618</c:v>
                </c:pt>
                <c:pt idx="5">
                  <c:v>0.0649</c:v>
                </c:pt>
                <c:pt idx="6">
                  <c:v>0.0734</c:v>
                </c:pt>
                <c:pt idx="7">
                  <c:v>0.0203</c:v>
                </c:pt>
                <c:pt idx="8">
                  <c:v>0.0728</c:v>
                </c:pt>
                <c:pt idx="9">
                  <c:v>0.0476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768871"/>
        <c:axId val="33919840"/>
      </c:lineChart>
      <c:catAx>
        <c:axId val="376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19840"/>
        <c:crosses val="autoZero"/>
        <c:auto val="1"/>
        <c:lblOffset val="100"/>
        <c:tickLblSkip val="1"/>
        <c:noMultiLvlLbl val="0"/>
      </c:catAx>
      <c:valAx>
        <c:axId val="339198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88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725"/>
          <c:y val="0.01075"/>
          <c:w val="0.881"/>
          <c:h val="0.2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8675"/>
          <c:w val="0.9562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Zal_1_WPF_uklad_budzetu_ryzyko!$B$53</c:f>
              <c:strCache>
                <c:ptCount val="1"/>
                <c:pt idx="0">
                  <c:v>Maksymalny dopuszczalny wskaźnik spłaty z art. 243 ufp 
(obliczony z Rb z wykonaniem roku N-1)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Zal_1_WPF_uklad_budzetu_ryzyko!$C$53:$M$53</c:f>
              <c:numCache>
                <c:ptCount val="11"/>
                <c:pt idx="0">
                  <c:v>0.0705</c:v>
                </c:pt>
                <c:pt idx="1">
                  <c:v>0.0719</c:v>
                </c:pt>
                <c:pt idx="2">
                  <c:v>0.0859</c:v>
                </c:pt>
                <c:pt idx="3">
                  <c:v>0.0891</c:v>
                </c:pt>
                <c:pt idx="4">
                  <c:v>0.078</c:v>
                </c:pt>
                <c:pt idx="5">
                  <c:v>0.0689</c:v>
                </c:pt>
                <c:pt idx="6">
                  <c:v>0.0737</c:v>
                </c:pt>
                <c:pt idx="7">
                  <c:v>0.0795</c:v>
                </c:pt>
                <c:pt idx="8">
                  <c:v>0.0775</c:v>
                </c:pt>
                <c:pt idx="9">
                  <c:v>0.0825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Zal_1_WPF_uklad_budzetu_ryzyko!$B$54</c:f>
              <c:strCache>
                <c:ptCount val="1"/>
                <c:pt idx="0">
                  <c:v>Relacja planowanej łącznej kwoty spłaty zobowiązań do dochodów 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Zal_1_WPF_uklad_budzetu_ryzyko!$C$54:$M$54</c:f>
              <c:numCache>
                <c:ptCount val="11"/>
                <c:pt idx="0">
                  <c:v>0.1365</c:v>
                </c:pt>
                <c:pt idx="1">
                  <c:v>0.0442</c:v>
                </c:pt>
                <c:pt idx="2">
                  <c:v>0.061</c:v>
                </c:pt>
                <c:pt idx="3">
                  <c:v>0.0584</c:v>
                </c:pt>
                <c:pt idx="4">
                  <c:v>0.0618</c:v>
                </c:pt>
                <c:pt idx="5">
                  <c:v>0.0649</c:v>
                </c:pt>
                <c:pt idx="6">
                  <c:v>0.0734</c:v>
                </c:pt>
                <c:pt idx="7">
                  <c:v>0.0203</c:v>
                </c:pt>
                <c:pt idx="8">
                  <c:v>0.0728</c:v>
                </c:pt>
                <c:pt idx="9">
                  <c:v>0.0476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6843105"/>
        <c:axId val="63152490"/>
      </c:lineChart>
      <c:catAx>
        <c:axId val="3684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52490"/>
        <c:crosses val="autoZero"/>
        <c:auto val="1"/>
        <c:lblOffset val="100"/>
        <c:tickLblSkip val="1"/>
        <c:noMultiLvlLbl val="0"/>
      </c:catAx>
      <c:valAx>
        <c:axId val="631524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431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8675"/>
          <c:w val="0.9562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Zal_1_WPF_uklad_budzetu_ryzyko!$B$53</c:f>
              <c:strCache>
                <c:ptCount val="1"/>
                <c:pt idx="0">
                  <c:v>Maksymalny dopuszczalny wskaźnik spłaty z art. 243 ufp 
(obliczony z Rb z wykonaniem roku N-1)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Zal_1_WPF_uklad_budzetu_ryzyko!$C$53:$M$53</c:f>
              <c:numCache>
                <c:ptCount val="11"/>
                <c:pt idx="0">
                  <c:v>0.0705</c:v>
                </c:pt>
                <c:pt idx="1">
                  <c:v>0.0719</c:v>
                </c:pt>
                <c:pt idx="2">
                  <c:v>0.0859</c:v>
                </c:pt>
                <c:pt idx="3">
                  <c:v>0.0891</c:v>
                </c:pt>
                <c:pt idx="4">
                  <c:v>0.078</c:v>
                </c:pt>
                <c:pt idx="5">
                  <c:v>0.0689</c:v>
                </c:pt>
                <c:pt idx="6">
                  <c:v>0.0737</c:v>
                </c:pt>
                <c:pt idx="7">
                  <c:v>0.0795</c:v>
                </c:pt>
                <c:pt idx="8">
                  <c:v>0.0775</c:v>
                </c:pt>
                <c:pt idx="9">
                  <c:v>0.0825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Zal_1_WPF_uklad_budzetu_ryzyko!$B$57</c:f>
              <c:strCache>
                <c:ptCount val="1"/>
                <c:pt idx="0">
                  <c:v>Relacja planowanej łącznej kwoty spłaty zobowiązań do dochodów (po uwzględnieniu wyłączeń)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Zal_1_WPF_uklad_budzetu_ryzyko!$C$57:$M$57</c:f>
              <c:numCache>
                <c:ptCount val="11"/>
                <c:pt idx="0">
                  <c:v>0.1365</c:v>
                </c:pt>
                <c:pt idx="1">
                  <c:v>0.0442</c:v>
                </c:pt>
                <c:pt idx="2">
                  <c:v>0.061</c:v>
                </c:pt>
                <c:pt idx="3">
                  <c:v>0.0584</c:v>
                </c:pt>
                <c:pt idx="4">
                  <c:v>0.0618</c:v>
                </c:pt>
                <c:pt idx="5">
                  <c:v>0.0649</c:v>
                </c:pt>
                <c:pt idx="6">
                  <c:v>0.0734</c:v>
                </c:pt>
                <c:pt idx="7">
                  <c:v>0.0203</c:v>
                </c:pt>
                <c:pt idx="8">
                  <c:v>0.0728</c:v>
                </c:pt>
                <c:pt idx="9">
                  <c:v>0.0476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1501499"/>
        <c:axId val="15078036"/>
      </c:lineChart>
      <c:catAx>
        <c:axId val="31501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78036"/>
        <c:crosses val="autoZero"/>
        <c:auto val="1"/>
        <c:lblOffset val="100"/>
        <c:tickLblSkip val="1"/>
        <c:noMultiLvlLbl val="0"/>
      </c:catAx>
      <c:valAx>
        <c:axId val="150780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014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725"/>
          <c:y val="0.01075"/>
          <c:w val="0.881"/>
          <c:h val="0.2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550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AnalizaWsk243!$A$7</c:f>
              <c:strCache>
                <c:ptCount val="1"/>
                <c:pt idx="0">
                  <c:v>[1a] Dochody bieżace [Db]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(AnalizaWsk243!$B$6:$C$6,AnalizaWsk243!$E$6:$N$6)</c:f>
              <c:num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(AnalizaWsk243!$B$7:$C$7,AnalizaWsk243!$E$7:$N$7)</c:f>
              <c:numCache>
                <c:ptCount val="12"/>
                <c:pt idx="0">
                  <c:v>27259713.55</c:v>
                </c:pt>
                <c:pt idx="1">
                  <c:v>27818818.57</c:v>
                </c:pt>
                <c:pt idx="2">
                  <c:v>0</c:v>
                </c:pt>
                <c:pt idx="3">
                  <c:v>30469412</c:v>
                </c:pt>
                <c:pt idx="4">
                  <c:v>30568535</c:v>
                </c:pt>
                <c:pt idx="5">
                  <c:v>31057274</c:v>
                </c:pt>
                <c:pt idx="6">
                  <c:v>32115177</c:v>
                </c:pt>
                <c:pt idx="7">
                  <c:v>32550241</c:v>
                </c:pt>
                <c:pt idx="8">
                  <c:v>33878223</c:v>
                </c:pt>
                <c:pt idx="9">
                  <c:v>34994570</c:v>
                </c:pt>
                <c:pt idx="10">
                  <c:v>35241407</c:v>
                </c:pt>
                <c:pt idx="11">
                  <c:v>37019649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AnalizaWsk243!$A$9</c:f>
              <c:strCache>
                <c:ptCount val="1"/>
                <c:pt idx="0">
                  <c:v>[24] -  Wydatki bieżące  [Wb]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(AnalizaWsk243!$B$6:$C$6,AnalizaWsk243!$E$6:$N$6)</c:f>
              <c:num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(AnalizaWsk243!$B$9:$C$9,AnalizaWsk243!$E$9:$M$9)</c:f>
              <c:numCache>
                <c:ptCount val="11"/>
                <c:pt idx="0">
                  <c:v>24401676.07</c:v>
                </c:pt>
                <c:pt idx="1">
                  <c:v>26215083.9</c:v>
                </c:pt>
                <c:pt idx="2">
                  <c:v>0</c:v>
                </c:pt>
                <c:pt idx="3">
                  <c:v>26930366</c:v>
                </c:pt>
                <c:pt idx="4">
                  <c:v>27651737</c:v>
                </c:pt>
                <c:pt idx="5">
                  <c:v>29036008</c:v>
                </c:pt>
                <c:pt idx="6">
                  <c:v>29508344</c:v>
                </c:pt>
                <c:pt idx="7">
                  <c:v>30366241</c:v>
                </c:pt>
                <c:pt idx="8">
                  <c:v>31221747</c:v>
                </c:pt>
                <c:pt idx="9">
                  <c:v>31702291</c:v>
                </c:pt>
                <c:pt idx="10">
                  <c:v>33131348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1484597"/>
        <c:axId val="13361374"/>
      </c:lineChart>
      <c:catAx>
        <c:axId val="1484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361374"/>
        <c:crosses val="autoZero"/>
        <c:auto val="1"/>
        <c:lblOffset val="100"/>
        <c:tickLblSkip val="1"/>
        <c:noMultiLvlLbl val="0"/>
      </c:catAx>
      <c:valAx>
        <c:axId val="133613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4597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65"/>
          <c:y val="0.01075"/>
          <c:w val="0.91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5745"/>
          <c:h val="0.9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Zal_1_WPF_uklad_budzetu_ryzyko!$B$7</c:f>
              <c:strCache>
                <c:ptCount val="1"/>
                <c:pt idx="0">
                  <c:v>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Zal_1_WPF_uklad_budzetu_ryzyko!$C$7:$M$7</c:f>
              <c:numCache>
                <c:ptCount val="11"/>
                <c:pt idx="0">
                  <c:v>30469412</c:v>
                </c:pt>
                <c:pt idx="1">
                  <c:v>30568535</c:v>
                </c:pt>
                <c:pt idx="2">
                  <c:v>31057274</c:v>
                </c:pt>
                <c:pt idx="3">
                  <c:v>32115177</c:v>
                </c:pt>
                <c:pt idx="4">
                  <c:v>32550241</c:v>
                </c:pt>
                <c:pt idx="5">
                  <c:v>33878223</c:v>
                </c:pt>
                <c:pt idx="6">
                  <c:v>34994570</c:v>
                </c:pt>
                <c:pt idx="7">
                  <c:v>35241407</c:v>
                </c:pt>
                <c:pt idx="8">
                  <c:v>37019649</c:v>
                </c:pt>
                <c:pt idx="9">
                  <c:v>38130238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Zal_1_WPF_uklad_budzetu_ryzyko!$B$10</c:f>
              <c:strCache>
                <c:ptCount val="1"/>
                <c:pt idx="0">
                  <c:v> dochody majątkowe, w tym: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Zal_1_WPF_uklad_budzetu_ryzyko!$C$10:$M$10</c:f>
              <c:numCache>
                <c:ptCount val="11"/>
                <c:pt idx="0">
                  <c:v>1702017</c:v>
                </c:pt>
                <c:pt idx="1">
                  <c:v>668828</c:v>
                </c:pt>
                <c:pt idx="2">
                  <c:v>510000</c:v>
                </c:pt>
                <c:pt idx="3">
                  <c:v>1934394</c:v>
                </c:pt>
                <c:pt idx="4">
                  <c:v>510000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37387241"/>
        <c:axId val="940850"/>
      </c:barChart>
      <c:catAx>
        <c:axId val="37387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40850"/>
        <c:crosses val="autoZero"/>
        <c:auto val="1"/>
        <c:lblOffset val="100"/>
        <c:tickLblSkip val="1"/>
        <c:noMultiLvlLbl val="0"/>
      </c:catAx>
      <c:valAx>
        <c:axId val="9408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87241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825"/>
          <c:y val="0.01075"/>
          <c:w val="0.707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585"/>
          <c:h val="0.9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Zal_1_WPF_uklad_budzetu_ryzyko!$B$15</c:f>
              <c:strCache>
                <c:ptCount val="1"/>
                <c:pt idx="0">
                  <c:v>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Zal_1_WPF_uklad_budzetu_ryzyko!$C$15:$M$15</c:f>
              <c:numCache>
                <c:ptCount val="11"/>
                <c:pt idx="0">
                  <c:v>26930366</c:v>
                </c:pt>
                <c:pt idx="1">
                  <c:v>27651737</c:v>
                </c:pt>
                <c:pt idx="2">
                  <c:v>29036008</c:v>
                </c:pt>
                <c:pt idx="3">
                  <c:v>29508344</c:v>
                </c:pt>
                <c:pt idx="4">
                  <c:v>30366241</c:v>
                </c:pt>
                <c:pt idx="5">
                  <c:v>31221747</c:v>
                </c:pt>
                <c:pt idx="6">
                  <c:v>31702291</c:v>
                </c:pt>
                <c:pt idx="7">
                  <c:v>33131348</c:v>
                </c:pt>
                <c:pt idx="8">
                  <c:v>33556802</c:v>
                </c:pt>
                <c:pt idx="9">
                  <c:v>34328608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Zal_1_WPF_uklad_budzetu_ryzyko!$B$24</c:f>
              <c:strCache>
                <c:ptCount val="1"/>
                <c:pt idx="0">
                  <c:v>Wydatki majątkowe, w tym: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Zal_1_WPF_uklad_budzetu_ryzyko!$C$24:$M$24</c:f>
              <c:numCache>
                <c:ptCount val="11"/>
                <c:pt idx="0">
                  <c:v>4610463</c:v>
                </c:pt>
                <c:pt idx="1">
                  <c:v>3211000</c:v>
                </c:pt>
                <c:pt idx="2">
                  <c:v>2120000</c:v>
                </c:pt>
                <c:pt idx="3">
                  <c:v>4102930</c:v>
                </c:pt>
                <c:pt idx="4">
                  <c:v>1000000</c:v>
                </c:pt>
                <c:pt idx="5">
                  <c:v>706476</c:v>
                </c:pt>
                <c:pt idx="6">
                  <c:v>842279</c:v>
                </c:pt>
                <c:pt idx="7">
                  <c:v>1610059</c:v>
                </c:pt>
                <c:pt idx="8">
                  <c:v>896271</c:v>
                </c:pt>
                <c:pt idx="9">
                  <c:v>2107995</c:v>
                </c:pt>
                <c:pt idx="10">
                  <c:v>0</c:v>
                </c:pt>
              </c:numCache>
            </c:numRef>
          </c:val>
        </c:ser>
        <c:overlap val="100"/>
        <c:axId val="8467651"/>
        <c:axId val="9099996"/>
      </c:barChart>
      <c:catAx>
        <c:axId val="8467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099996"/>
        <c:crosses val="autoZero"/>
        <c:auto val="1"/>
        <c:lblOffset val="100"/>
        <c:tickLblSkip val="1"/>
        <c:noMultiLvlLbl val="0"/>
      </c:catAx>
      <c:valAx>
        <c:axId val="90999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67651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1"/>
          <c:y val="0.01075"/>
          <c:w val="0.685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589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Zal_1_WPF_uklad_budzetu_ryzyko!$B$61</c:f>
              <c:strCache>
                <c:ptCount val="1"/>
                <c:pt idx="0">
                  <c:v>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Zal_1_WPF_uklad_budzetu_ryzyko!$C$61:$M$61</c:f>
              <c:numCache>
                <c:ptCount val="11"/>
                <c:pt idx="0">
                  <c:v>14910403</c:v>
                </c:pt>
                <c:pt idx="1">
                  <c:v>15541758</c:v>
                </c:pt>
                <c:pt idx="2">
                  <c:v>15961385</c:v>
                </c:pt>
                <c:pt idx="3">
                  <c:v>16392342</c:v>
                </c:pt>
                <c:pt idx="4">
                  <c:v>16834936</c:v>
                </c:pt>
                <c:pt idx="5">
                  <c:v>17272644</c:v>
                </c:pt>
                <c:pt idx="6">
                  <c:v>17721733</c:v>
                </c:pt>
                <c:pt idx="7">
                  <c:v>18041291</c:v>
                </c:pt>
                <c:pt idx="8">
                  <c:v>18456241</c:v>
                </c:pt>
                <c:pt idx="9">
                  <c:v>18880734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Zal_1_WPF_uklad_budzetu_ryzyko!$B$62</c:f>
              <c:strCache>
                <c:ptCount val="1"/>
                <c:pt idx="0">
                  <c:v>związane z funkcjonowaniem organów JST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Zal_1_WPF_uklad_budzetu_ryzyko!$C$62:$M$62</c:f>
              <c:numCache>
                <c:ptCount val="11"/>
                <c:pt idx="0">
                  <c:v>3053449</c:v>
                </c:pt>
                <c:pt idx="1">
                  <c:v>3102301</c:v>
                </c:pt>
                <c:pt idx="2">
                  <c:v>3182961</c:v>
                </c:pt>
                <c:pt idx="3">
                  <c:v>3265718</c:v>
                </c:pt>
                <c:pt idx="4">
                  <c:v>3350627</c:v>
                </c:pt>
                <c:pt idx="5">
                  <c:v>3434392</c:v>
                </c:pt>
                <c:pt idx="6">
                  <c:v>3520252</c:v>
                </c:pt>
                <c:pt idx="7">
                  <c:v>3608258</c:v>
                </c:pt>
                <c:pt idx="8">
                  <c:v>3691248</c:v>
                </c:pt>
                <c:pt idx="9">
                  <c:v>3776147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4791101"/>
        <c:axId val="66011046"/>
      </c:lineChart>
      <c:catAx>
        <c:axId val="14791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011046"/>
        <c:crosses val="autoZero"/>
        <c:auto val="1"/>
        <c:lblOffset val="100"/>
        <c:tickLblSkip val="1"/>
        <c:noMultiLvlLbl val="0"/>
      </c:catAx>
      <c:valAx>
        <c:axId val="660110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91101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625"/>
          <c:y val="0.01075"/>
          <c:w val="0.5795"/>
          <c:h val="0.1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75"/>
          <c:w val="0.5505"/>
          <c:h val="0.9265"/>
        </c:manualLayout>
      </c:layout>
      <c:lineChart>
        <c:grouping val="standard"/>
        <c:varyColors val="0"/>
        <c:ser>
          <c:idx val="1"/>
          <c:order val="0"/>
          <c:tx>
            <c:strRef>
              <c:f>Zal_1_WPF_uklad_budzetu_ryzyko!$B$64</c:f>
              <c:strCache>
                <c:ptCount val="1"/>
                <c:pt idx="0">
                  <c:v>majątkowe objęte limitem art. 226 ust. 4 ufp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Zal_1_WPF_uklad_budzetu_ryzyko!$C$64:$M$64</c:f>
              <c:numCache>
                <c:ptCount val="11"/>
                <c:pt idx="0">
                  <c:v>3208757</c:v>
                </c:pt>
                <c:pt idx="1">
                  <c:v>3211000</c:v>
                </c:pt>
                <c:pt idx="2">
                  <c:v>2120000</c:v>
                </c:pt>
                <c:pt idx="3">
                  <c:v>4102930</c:v>
                </c:pt>
                <c:pt idx="4">
                  <c:v>1000000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Zal_1_WPF_uklad_budzetu_ryzyko!$B$63</c:f>
              <c:strCache>
                <c:ptCount val="1"/>
                <c:pt idx="0">
                  <c:v>bieżące objęte limitem art. 226 ust. 4 ufp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Zal_1_WPF_uklad_budzetu_ryzyko!$C$63:$M$63</c:f>
              <c:numCache>
                <c:ptCount val="11"/>
                <c:pt idx="0">
                  <c:v>1200000</c:v>
                </c:pt>
                <c:pt idx="1">
                  <c:v>1280000</c:v>
                </c:pt>
                <c:pt idx="2">
                  <c:v>1110000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7228503"/>
        <c:axId val="45294480"/>
      </c:lineChart>
      <c:catAx>
        <c:axId val="5722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294480"/>
        <c:crosses val="autoZero"/>
        <c:auto val="1"/>
        <c:lblOffset val="100"/>
        <c:tickLblSkip val="1"/>
        <c:noMultiLvlLbl val="0"/>
      </c:catAx>
      <c:valAx>
        <c:axId val="452944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28503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01075"/>
          <c:w val="0.58375"/>
          <c:h val="0.1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5485"/>
          <c:h val="0.92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Zal_1_WPF_uklad_budzetu_ryzyko!$B$40</c:f>
              <c:strCache>
                <c:ptCount val="1"/>
                <c:pt idx="0">
                  <c:v>Spłaty rat kapitałowych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Zal_1_WPF_uklad_budzetu_ryzyko!$C$40:$M$40</c:f>
              <c:numCache>
                <c:ptCount val="11"/>
                <c:pt idx="0">
                  <c:v>3670600</c:v>
                </c:pt>
                <c:pt idx="1">
                  <c:v>781000</c:v>
                </c:pt>
                <c:pt idx="2">
                  <c:v>1396900</c:v>
                </c:pt>
                <c:pt idx="3">
                  <c:v>1500000</c:v>
                </c:pt>
                <c:pt idx="4">
                  <c:v>1694000</c:v>
                </c:pt>
                <c:pt idx="5">
                  <c:v>1950000</c:v>
                </c:pt>
                <c:pt idx="6">
                  <c:v>2450000</c:v>
                </c:pt>
                <c:pt idx="7">
                  <c:v>500000</c:v>
                </c:pt>
                <c:pt idx="8">
                  <c:v>2566576</c:v>
                </c:pt>
                <c:pt idx="9">
                  <c:v>1693635</c:v>
                </c:pt>
                <c:pt idx="10">
                  <c:v>0</c:v>
                </c:pt>
              </c:numCache>
            </c:numRef>
          </c:val>
        </c:ser>
        <c:ser>
          <c:idx val="0"/>
          <c:order val="2"/>
          <c:tx>
            <c:strRef>
              <c:f>Zal_1_WPF_uklad_budzetu_ryzyko!$B$24</c:f>
              <c:strCache>
                <c:ptCount val="1"/>
                <c:pt idx="0">
                  <c:v>Wydatki majątkowe, w tym: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Zal_1_WPF_uklad_budzetu_ryzyko!$C$24:$M$24</c:f>
              <c:numCache>
                <c:ptCount val="11"/>
                <c:pt idx="0">
                  <c:v>4610463</c:v>
                </c:pt>
                <c:pt idx="1">
                  <c:v>3211000</c:v>
                </c:pt>
                <c:pt idx="2">
                  <c:v>2120000</c:v>
                </c:pt>
                <c:pt idx="3">
                  <c:v>4102930</c:v>
                </c:pt>
                <c:pt idx="4">
                  <c:v>1000000</c:v>
                </c:pt>
                <c:pt idx="5">
                  <c:v>706476</c:v>
                </c:pt>
                <c:pt idx="6">
                  <c:v>842279</c:v>
                </c:pt>
                <c:pt idx="7">
                  <c:v>1610059</c:v>
                </c:pt>
                <c:pt idx="8">
                  <c:v>896271</c:v>
                </c:pt>
                <c:pt idx="9">
                  <c:v>2107995</c:v>
                </c:pt>
                <c:pt idx="10">
                  <c:v>0</c:v>
                </c:pt>
              </c:numCache>
            </c:numRef>
          </c:val>
        </c:ser>
        <c:overlap val="100"/>
        <c:axId val="4997137"/>
        <c:axId val="44974234"/>
      </c:barChart>
      <c:lineChart>
        <c:grouping val="standard"/>
        <c:varyColors val="0"/>
        <c:ser>
          <c:idx val="1"/>
          <c:order val="0"/>
          <c:tx>
            <c:strRef>
              <c:f>Zal_1_WPF_uklad_budzetu_ryzyko!$B$28</c:f>
              <c:strCache>
                <c:ptCount val="1"/>
                <c:pt idx="0">
                  <c:v>Dochody bieżące -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Zal_1_WPF_uklad_budzetu_ryzyko!$C$28:$M$28</c:f>
              <c:numCache>
                <c:ptCount val="11"/>
                <c:pt idx="0">
                  <c:v>3539046</c:v>
                </c:pt>
                <c:pt idx="1">
                  <c:v>2916798</c:v>
                </c:pt>
                <c:pt idx="2">
                  <c:v>2021266</c:v>
                </c:pt>
                <c:pt idx="3">
                  <c:v>2606833</c:v>
                </c:pt>
                <c:pt idx="4">
                  <c:v>2184000</c:v>
                </c:pt>
                <c:pt idx="5">
                  <c:v>2656476</c:v>
                </c:pt>
                <c:pt idx="6">
                  <c:v>3292279</c:v>
                </c:pt>
                <c:pt idx="7">
                  <c:v>2110059</c:v>
                </c:pt>
                <c:pt idx="8">
                  <c:v>3462847</c:v>
                </c:pt>
                <c:pt idx="9">
                  <c:v>3801630</c:v>
                </c:pt>
                <c:pt idx="10">
                  <c:v>0</c:v>
                </c:pt>
              </c:numCache>
            </c:numRef>
          </c:val>
          <c:smooth val="0"/>
        </c:ser>
        <c:axId val="4997137"/>
        <c:axId val="44974234"/>
      </c:lineChart>
      <c:catAx>
        <c:axId val="4997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974234"/>
        <c:crosses val="autoZero"/>
        <c:auto val="1"/>
        <c:lblOffset val="100"/>
        <c:tickLblSkip val="1"/>
        <c:noMultiLvlLbl val="0"/>
      </c:catAx>
      <c:valAx>
        <c:axId val="449742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7137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025"/>
          <c:y val="0.01075"/>
          <c:w val="0.7707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925"/>
          <c:w val="0.95625"/>
          <c:h val="0.81225"/>
        </c:manualLayout>
      </c:layout>
      <c:lineChart>
        <c:grouping val="standard"/>
        <c:varyColors val="0"/>
        <c:ser>
          <c:idx val="3"/>
          <c:order val="0"/>
          <c:tx>
            <c:strRef>
              <c:f>Zal_1_WPF_uklad_budzetu_ryzyko!$B$46</c:f>
              <c:strCache>
                <c:ptCount val="1"/>
                <c:pt idx="0">
                  <c:v>Zadłużenie/dochody ogółem - max 60% z art. 170 sufp (bez wyłączeń)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Zal_1_WPF_uklad_budzetu_ryzyko!$C$46:$M$46</c:f>
              <c:numCache>
                <c:ptCount val="11"/>
                <c:pt idx="0">
                  <c:v>0.3754</c:v>
                </c:pt>
                <c:pt idx="1">
                  <c:v>0.3747</c:v>
                </c:pt>
                <c:pt idx="2">
                  <c:v>0.3577</c:v>
                </c:pt>
                <c:pt idx="3">
                  <c:v>0.3188</c:v>
                </c:pt>
                <c:pt idx="4">
                  <c:v>0.2771</c:v>
                </c:pt>
                <c:pt idx="5">
                  <c:v>0.2128</c:v>
                </c:pt>
                <c:pt idx="6">
                  <c:v>0.136</c:v>
                </c:pt>
                <c:pt idx="7">
                  <c:v>0.1209</c:v>
                </c:pt>
                <c:pt idx="8">
                  <c:v>0.0457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114923"/>
        <c:axId val="19034308"/>
      </c:lineChart>
      <c:catAx>
        <c:axId val="211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34308"/>
        <c:crosses val="autoZero"/>
        <c:auto val="1"/>
        <c:lblOffset val="100"/>
        <c:tickLblSkip val="1"/>
        <c:noMultiLvlLbl val="0"/>
      </c:catAx>
      <c:valAx>
        <c:axId val="190343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49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0675"/>
          <c:w val="0.95625"/>
          <c:h val="0.75475"/>
        </c:manualLayout>
      </c:layout>
      <c:lineChart>
        <c:grouping val="standard"/>
        <c:varyColors val="0"/>
        <c:ser>
          <c:idx val="1"/>
          <c:order val="0"/>
          <c:tx>
            <c:strRef>
              <c:f>Zal_1_WPF_uklad_budzetu_ryzyko!$B$48</c:f>
              <c:strCache>
                <c:ptCount val="1"/>
                <c:pt idx="0">
                  <c:v>Planowana łączna kwota spłaty zobowiązań/dochody ogółem - max 15% z art. 169 sufp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Zal_1_WPF_uklad_budzetu_ryzyko!$C$48:$M$48</c:f>
              <c:numCache>
                <c:ptCount val="11"/>
                <c:pt idx="0">
                  <c:v>0.1365</c:v>
                </c:pt>
                <c:pt idx="1">
                  <c:v>0.0442</c:v>
                </c:pt>
                <c:pt idx="2">
                  <c:v>0.061</c:v>
                </c:pt>
                <c:pt idx="3">
                  <c:v>0.0584</c:v>
                </c:pt>
                <c:pt idx="4">
                  <c:v>0.0618</c:v>
                </c:pt>
                <c:pt idx="5">
                  <c:v>0.0649</c:v>
                </c:pt>
                <c:pt idx="6">
                  <c:v>0.0734</c:v>
                </c:pt>
                <c:pt idx="7">
                  <c:v>0.0203</c:v>
                </c:pt>
                <c:pt idx="8">
                  <c:v>0.0728</c:v>
                </c:pt>
                <c:pt idx="9">
                  <c:v>0.0476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7091045"/>
        <c:axId val="65383950"/>
      </c:lineChart>
      <c:catAx>
        <c:axId val="3709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83950"/>
        <c:crosses val="autoZero"/>
        <c:auto val="1"/>
        <c:lblOffset val="100"/>
        <c:tickLblSkip val="1"/>
        <c:noMultiLvlLbl val="0"/>
      </c:catAx>
      <c:valAx>
        <c:axId val="653839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910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8675"/>
          <c:w val="0.9562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Zal_1_WPF_uklad_budzetu_ryzyko!$B$52</c:f>
              <c:strCache>
                <c:ptCount val="1"/>
                <c:pt idx="0">
                  <c:v>Maksymalny dopuszczalny wskaźnik spłaty z art. 243 ufp (planistyczny)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Zal_1_WPF_uklad_budzetu_ryzyko!$C$52:$M$52</c:f>
              <c:numCache>
                <c:ptCount val="11"/>
                <c:pt idx="0">
                  <c:v>0.0705</c:v>
                </c:pt>
                <c:pt idx="1">
                  <c:v>0.0719</c:v>
                </c:pt>
                <c:pt idx="2">
                  <c:v>0.0859</c:v>
                </c:pt>
                <c:pt idx="3">
                  <c:v>0.0891</c:v>
                </c:pt>
                <c:pt idx="4">
                  <c:v>0.078</c:v>
                </c:pt>
                <c:pt idx="5">
                  <c:v>0.0689</c:v>
                </c:pt>
                <c:pt idx="6">
                  <c:v>0.0737</c:v>
                </c:pt>
                <c:pt idx="7">
                  <c:v>0.0795</c:v>
                </c:pt>
                <c:pt idx="8">
                  <c:v>0.0775</c:v>
                </c:pt>
                <c:pt idx="9">
                  <c:v>0.0825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Zal_1_WPF_uklad_budzetu_ryzyko!$B$54</c:f>
              <c:strCache>
                <c:ptCount val="1"/>
                <c:pt idx="0">
                  <c:v>Relacja planowanej łącznej kwoty spłaty zobowiązań do dochodów 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Zal_1_WPF_uklad_budzetu_ryzyko!$C$54:$M$54</c:f>
              <c:numCache>
                <c:ptCount val="11"/>
                <c:pt idx="0">
                  <c:v>0.1365</c:v>
                </c:pt>
                <c:pt idx="1">
                  <c:v>0.0442</c:v>
                </c:pt>
                <c:pt idx="2">
                  <c:v>0.061</c:v>
                </c:pt>
                <c:pt idx="3">
                  <c:v>0.0584</c:v>
                </c:pt>
                <c:pt idx="4">
                  <c:v>0.0618</c:v>
                </c:pt>
                <c:pt idx="5">
                  <c:v>0.0649</c:v>
                </c:pt>
                <c:pt idx="6">
                  <c:v>0.0734</c:v>
                </c:pt>
                <c:pt idx="7">
                  <c:v>0.0203</c:v>
                </c:pt>
                <c:pt idx="8">
                  <c:v>0.0728</c:v>
                </c:pt>
                <c:pt idx="9">
                  <c:v>0.0476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1584639"/>
        <c:axId val="61608568"/>
      </c:lineChart>
      <c:catAx>
        <c:axId val="5158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08568"/>
        <c:crosses val="autoZero"/>
        <c:auto val="1"/>
        <c:lblOffset val="100"/>
        <c:tickLblSkip val="1"/>
        <c:noMultiLvlLbl val="0"/>
      </c:catAx>
      <c:valAx>
        <c:axId val="616085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846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Wykres 8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Wykres 9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Wykres 10"/>
        <xdr:cNvGraphicFramePr/>
      </xdr:nvGraphicFramePr>
      <xdr:xfrm>
        <a:off x="9525" y="179927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66</xdr:row>
      <xdr:rowOff>76200</xdr:rowOff>
    </xdr:from>
    <xdr:to>
      <xdr:col>13</xdr:col>
      <xdr:colOff>752475</xdr:colOff>
      <xdr:row>81</xdr:row>
      <xdr:rowOff>95250</xdr:rowOff>
    </xdr:to>
    <xdr:graphicFrame>
      <xdr:nvGraphicFramePr>
        <xdr:cNvPr id="11" name="Wykres 9"/>
        <xdr:cNvGraphicFramePr/>
      </xdr:nvGraphicFramePr>
      <xdr:xfrm>
        <a:off x="6000750" y="12030075"/>
        <a:ext cx="5581650" cy="2733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2" name="Wykres 8"/>
        <xdr:cNvGraphicFramePr/>
      </xdr:nvGraphicFramePr>
      <xdr:xfrm>
        <a:off x="6000750" y="14887575"/>
        <a:ext cx="558165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209550</xdr:colOff>
      <xdr:row>99</xdr:row>
      <xdr:rowOff>28575</xdr:rowOff>
    </xdr:from>
    <xdr:to>
      <xdr:col>13</xdr:col>
      <xdr:colOff>771525</xdr:colOff>
      <xdr:row>114</xdr:row>
      <xdr:rowOff>57150</xdr:rowOff>
    </xdr:to>
    <xdr:graphicFrame>
      <xdr:nvGraphicFramePr>
        <xdr:cNvPr id="13" name="Wykres 10"/>
        <xdr:cNvGraphicFramePr/>
      </xdr:nvGraphicFramePr>
      <xdr:xfrm>
        <a:off x="6010275" y="179641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116</xdr:row>
      <xdr:rowOff>76200</xdr:rowOff>
    </xdr:from>
    <xdr:to>
      <xdr:col>6</xdr:col>
      <xdr:colOff>590550</xdr:colOff>
      <xdr:row>131</xdr:row>
      <xdr:rowOff>104775</xdr:rowOff>
    </xdr:to>
    <xdr:graphicFrame>
      <xdr:nvGraphicFramePr>
        <xdr:cNvPr id="14" name="Wykres 10"/>
        <xdr:cNvGraphicFramePr/>
      </xdr:nvGraphicFramePr>
      <xdr:xfrm>
        <a:off x="19050" y="21097875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200025</xdr:colOff>
      <xdr:row>116</xdr:row>
      <xdr:rowOff>66675</xdr:rowOff>
    </xdr:from>
    <xdr:to>
      <xdr:col>13</xdr:col>
      <xdr:colOff>752475</xdr:colOff>
      <xdr:row>131</xdr:row>
      <xdr:rowOff>95250</xdr:rowOff>
    </xdr:to>
    <xdr:graphicFrame>
      <xdr:nvGraphicFramePr>
        <xdr:cNvPr id="15" name="Wykres 10"/>
        <xdr:cNvGraphicFramePr/>
      </xdr:nvGraphicFramePr>
      <xdr:xfrm>
        <a:off x="6000750" y="21088350"/>
        <a:ext cx="5581650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6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tabColor rgb="FFFFFF00"/>
  </sheetPr>
  <dimension ref="A2:AJ36"/>
  <sheetViews>
    <sheetView showZero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1" sqref="E11"/>
    </sheetView>
  </sheetViews>
  <sheetFormatPr defaultColWidth="8.796875" defaultRowHeight="14.25"/>
  <cols>
    <col min="1" max="1" width="45.09765625" style="0" customWidth="1"/>
    <col min="2" max="36" width="11.59765625" style="0" customWidth="1"/>
  </cols>
  <sheetData>
    <row r="2" ht="15">
      <c r="A2" s="133" t="s">
        <v>164</v>
      </c>
    </row>
    <row r="3" ht="14.25">
      <c r="A3" s="143" t="s">
        <v>165</v>
      </c>
    </row>
    <row r="4" spans="2:5" ht="14.25">
      <c r="B4" s="194" t="s">
        <v>214</v>
      </c>
      <c r="C4" s="194" t="s">
        <v>214</v>
      </c>
      <c r="D4" s="194" t="s">
        <v>213</v>
      </c>
      <c r="E4" s="194" t="s">
        <v>214</v>
      </c>
    </row>
    <row r="5" spans="1:36" ht="15">
      <c r="A5" s="139" t="s">
        <v>166</v>
      </c>
      <c r="B5" s="140" t="s">
        <v>167</v>
      </c>
      <c r="C5" s="140" t="s">
        <v>168</v>
      </c>
      <c r="D5" s="140" t="s">
        <v>169</v>
      </c>
      <c r="E5" s="140" t="s">
        <v>215</v>
      </c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</row>
    <row r="6" spans="1:36" s="177" customFormat="1" ht="14.25">
      <c r="A6" s="176"/>
      <c r="B6" s="176">
        <v>2010</v>
      </c>
      <c r="C6" s="176">
        <v>2011</v>
      </c>
      <c r="D6" s="176">
        <v>2012</v>
      </c>
      <c r="E6" s="176">
        <v>2012</v>
      </c>
      <c r="F6" s="176">
        <v>2013</v>
      </c>
      <c r="G6" s="176">
        <f>+F6+1</f>
        <v>2014</v>
      </c>
      <c r="H6" s="176">
        <f aca="true" t="shared" si="0" ref="H6:AJ6">+G6+1</f>
        <v>2015</v>
      </c>
      <c r="I6" s="176">
        <f t="shared" si="0"/>
        <v>2016</v>
      </c>
      <c r="J6" s="176">
        <f t="shared" si="0"/>
        <v>2017</v>
      </c>
      <c r="K6" s="176">
        <f t="shared" si="0"/>
        <v>2018</v>
      </c>
      <c r="L6" s="176">
        <f t="shared" si="0"/>
        <v>2019</v>
      </c>
      <c r="M6" s="176">
        <f t="shared" si="0"/>
        <v>2020</v>
      </c>
      <c r="N6" s="176">
        <f t="shared" si="0"/>
        <v>2021</v>
      </c>
      <c r="O6" s="176">
        <f t="shared" si="0"/>
        <v>2022</v>
      </c>
      <c r="P6" s="176">
        <f t="shared" si="0"/>
        <v>2023</v>
      </c>
      <c r="Q6" s="176">
        <f t="shared" si="0"/>
        <v>2024</v>
      </c>
      <c r="R6" s="176">
        <f t="shared" si="0"/>
        <v>2025</v>
      </c>
      <c r="S6" s="176">
        <f t="shared" si="0"/>
        <v>2026</v>
      </c>
      <c r="T6" s="176">
        <f t="shared" si="0"/>
        <v>2027</v>
      </c>
      <c r="U6" s="176">
        <f t="shared" si="0"/>
        <v>2028</v>
      </c>
      <c r="V6" s="176">
        <f t="shared" si="0"/>
        <v>2029</v>
      </c>
      <c r="W6" s="176">
        <f t="shared" si="0"/>
        <v>2030</v>
      </c>
      <c r="X6" s="176">
        <f t="shared" si="0"/>
        <v>2031</v>
      </c>
      <c r="Y6" s="176">
        <f t="shared" si="0"/>
        <v>2032</v>
      </c>
      <c r="Z6" s="176">
        <f t="shared" si="0"/>
        <v>2033</v>
      </c>
      <c r="AA6" s="176">
        <f t="shared" si="0"/>
        <v>2034</v>
      </c>
      <c r="AB6" s="176">
        <f t="shared" si="0"/>
        <v>2035</v>
      </c>
      <c r="AC6" s="176">
        <f t="shared" si="0"/>
        <v>2036</v>
      </c>
      <c r="AD6" s="176">
        <f t="shared" si="0"/>
        <v>2037</v>
      </c>
      <c r="AE6" s="176">
        <f t="shared" si="0"/>
        <v>2038</v>
      </c>
      <c r="AF6" s="176">
        <f t="shared" si="0"/>
        <v>2039</v>
      </c>
      <c r="AG6" s="176">
        <f t="shared" si="0"/>
        <v>2040</v>
      </c>
      <c r="AH6" s="176">
        <f t="shared" si="0"/>
        <v>2041</v>
      </c>
      <c r="AI6" s="176">
        <f t="shared" si="0"/>
        <v>2042</v>
      </c>
      <c r="AJ6" s="176">
        <f t="shared" si="0"/>
        <v>2043</v>
      </c>
    </row>
    <row r="7" spans="1:36" ht="14.25">
      <c r="A7" s="150" t="s">
        <v>170</v>
      </c>
      <c r="B7" s="171">
        <v>27259713.55</v>
      </c>
      <c r="C7" s="152">
        <v>27818818.57</v>
      </c>
      <c r="D7" s="152">
        <v>28775365.19</v>
      </c>
      <c r="E7" s="193">
        <v>0</v>
      </c>
      <c r="F7" s="144">
        <f>+Zal_1_WPF_uklad_budzetu_ryzyko!C7</f>
        <v>30469412</v>
      </c>
      <c r="G7" s="144">
        <f>+Zal_1_WPF_uklad_budzetu_ryzyko!D7</f>
        <v>30568535</v>
      </c>
      <c r="H7" s="144">
        <f>+Zal_1_WPF_uklad_budzetu_ryzyko!E7</f>
        <v>31057274</v>
      </c>
      <c r="I7" s="144">
        <f>+Zal_1_WPF_uklad_budzetu_ryzyko!F7</f>
        <v>32115177</v>
      </c>
      <c r="J7" s="144">
        <f>+Zal_1_WPF_uklad_budzetu_ryzyko!G7</f>
        <v>32550241</v>
      </c>
      <c r="K7" s="144">
        <f>+Zal_1_WPF_uklad_budzetu_ryzyko!H7</f>
        <v>33878223</v>
      </c>
      <c r="L7" s="144">
        <f>+Zal_1_WPF_uklad_budzetu_ryzyko!I7</f>
        <v>34994570</v>
      </c>
      <c r="M7" s="144">
        <f>+Zal_1_WPF_uklad_budzetu_ryzyko!J7</f>
        <v>35241407</v>
      </c>
      <c r="N7" s="144">
        <f>+Zal_1_WPF_uklad_budzetu_ryzyko!K7</f>
        <v>37019649</v>
      </c>
      <c r="O7" s="144">
        <f>+Zal_1_WPF_uklad_budzetu_ryzyko!L7</f>
        <v>38130238</v>
      </c>
      <c r="P7" s="144">
        <f>+Zal_1_WPF_uklad_budzetu_ryzyko!M7</f>
        <v>0</v>
      </c>
      <c r="Q7" s="144">
        <f>+Zal_1_WPF_uklad_budzetu_ryzyko!N7</f>
        <v>0</v>
      </c>
      <c r="R7" s="144">
        <f>+Zal_1_WPF_uklad_budzetu_ryzyko!O7</f>
        <v>0</v>
      </c>
      <c r="S7" s="144">
        <f>+Zal_1_WPF_uklad_budzetu_ryzyko!P7</f>
        <v>0</v>
      </c>
      <c r="T7" s="144">
        <f>+Zal_1_WPF_uklad_budzetu_ryzyko!Q7</f>
        <v>0</v>
      </c>
      <c r="U7" s="144">
        <f>+Zal_1_WPF_uklad_budzetu_ryzyko!R7</f>
        <v>0</v>
      </c>
      <c r="V7" s="144">
        <f>+Zal_1_WPF_uklad_budzetu_ryzyko!S7</f>
        <v>0</v>
      </c>
      <c r="W7" s="144">
        <f>+Zal_1_WPF_uklad_budzetu_ryzyko!T7</f>
        <v>0</v>
      </c>
      <c r="X7" s="144">
        <f>+Zal_1_WPF_uklad_budzetu_ryzyko!U7</f>
        <v>0</v>
      </c>
      <c r="Y7" s="144">
        <f>+Zal_1_WPF_uklad_budzetu_ryzyko!V7</f>
        <v>0</v>
      </c>
      <c r="Z7" s="144">
        <f>+Zal_1_WPF_uklad_budzetu_ryzyko!W7</f>
        <v>0</v>
      </c>
      <c r="AA7" s="144">
        <f>+Zal_1_WPF_uklad_budzetu_ryzyko!X7</f>
        <v>0</v>
      </c>
      <c r="AB7" s="144">
        <f>+Zal_1_WPF_uklad_budzetu_ryzyko!Y7</f>
        <v>0</v>
      </c>
      <c r="AC7" s="144">
        <f>+Zal_1_WPF_uklad_budzetu_ryzyko!Z7</f>
        <v>0</v>
      </c>
      <c r="AD7" s="144">
        <f>+Zal_1_WPF_uklad_budzetu_ryzyko!AA7</f>
        <v>0</v>
      </c>
      <c r="AE7" s="144">
        <f>+Zal_1_WPF_uklad_budzetu_ryzyko!AB7</f>
        <v>0</v>
      </c>
      <c r="AF7" s="144">
        <f>+Zal_1_WPF_uklad_budzetu_ryzyko!AC7</f>
        <v>0</v>
      </c>
      <c r="AG7" s="144">
        <f>+Zal_1_WPF_uklad_budzetu_ryzyko!AD7</f>
        <v>0</v>
      </c>
      <c r="AH7" s="144">
        <f>+Zal_1_WPF_uklad_budzetu_ryzyko!AE7</f>
        <v>0</v>
      </c>
      <c r="AI7" s="144">
        <f>+Zal_1_WPF_uklad_budzetu_ryzyko!AF7</f>
        <v>0</v>
      </c>
      <c r="AJ7" s="144">
        <f>+Zal_1_WPF_uklad_budzetu_ryzyko!AG7</f>
        <v>0</v>
      </c>
    </row>
    <row r="8" spans="1:36" ht="14.25">
      <c r="A8" s="150" t="s">
        <v>171</v>
      </c>
      <c r="B8" s="171">
        <v>133119.67</v>
      </c>
      <c r="C8" s="152">
        <v>0</v>
      </c>
      <c r="D8" s="152">
        <v>0</v>
      </c>
      <c r="E8" s="193">
        <v>0</v>
      </c>
      <c r="F8" s="144">
        <f>+Zal_1_WPF_uklad_budzetu_ryzyko!C11</f>
        <v>0</v>
      </c>
      <c r="G8" s="144">
        <f>+Zal_1_WPF_uklad_budzetu_ryzyko!D11</f>
        <v>0</v>
      </c>
      <c r="H8" s="144">
        <f>+Zal_1_WPF_uklad_budzetu_ryzyko!E11</f>
        <v>0</v>
      </c>
      <c r="I8" s="144">
        <f>+Zal_1_WPF_uklad_budzetu_ryzyko!F11</f>
        <v>0</v>
      </c>
      <c r="J8" s="144">
        <f>+Zal_1_WPF_uklad_budzetu_ryzyko!G11</f>
        <v>0</v>
      </c>
      <c r="K8" s="144">
        <f>+Zal_1_WPF_uklad_budzetu_ryzyko!H11</f>
        <v>0</v>
      </c>
      <c r="L8" s="144">
        <f>+Zal_1_WPF_uklad_budzetu_ryzyko!I11</f>
        <v>0</v>
      </c>
      <c r="M8" s="144">
        <f>+Zal_1_WPF_uklad_budzetu_ryzyko!J11</f>
        <v>0</v>
      </c>
      <c r="N8" s="144">
        <f>+Zal_1_WPF_uklad_budzetu_ryzyko!K11</f>
        <v>0</v>
      </c>
      <c r="O8" s="144">
        <f>+Zal_1_WPF_uklad_budzetu_ryzyko!L11</f>
        <v>0</v>
      </c>
      <c r="P8" s="144">
        <f>+Zal_1_WPF_uklad_budzetu_ryzyko!M11</f>
        <v>0</v>
      </c>
      <c r="Q8" s="144">
        <f>+Zal_1_WPF_uklad_budzetu_ryzyko!N11</f>
        <v>0</v>
      </c>
      <c r="R8" s="144">
        <f>+Zal_1_WPF_uklad_budzetu_ryzyko!O11</f>
        <v>0</v>
      </c>
      <c r="S8" s="144">
        <f>+Zal_1_WPF_uklad_budzetu_ryzyko!P11</f>
        <v>0</v>
      </c>
      <c r="T8" s="144">
        <f>+Zal_1_WPF_uklad_budzetu_ryzyko!Q11</f>
        <v>0</v>
      </c>
      <c r="U8" s="144">
        <f>+Zal_1_WPF_uklad_budzetu_ryzyko!R11</f>
        <v>0</v>
      </c>
      <c r="V8" s="144">
        <f>+Zal_1_WPF_uklad_budzetu_ryzyko!S11</f>
        <v>0</v>
      </c>
      <c r="W8" s="144">
        <f>+Zal_1_WPF_uklad_budzetu_ryzyko!T11</f>
        <v>0</v>
      </c>
      <c r="X8" s="144">
        <f>+Zal_1_WPF_uklad_budzetu_ryzyko!U11</f>
        <v>0</v>
      </c>
      <c r="Y8" s="144">
        <f>+Zal_1_WPF_uklad_budzetu_ryzyko!V11</f>
        <v>0</v>
      </c>
      <c r="Z8" s="144">
        <f>+Zal_1_WPF_uklad_budzetu_ryzyko!W11</f>
        <v>0</v>
      </c>
      <c r="AA8" s="144">
        <f>+Zal_1_WPF_uklad_budzetu_ryzyko!X11</f>
        <v>0</v>
      </c>
      <c r="AB8" s="144">
        <f>+Zal_1_WPF_uklad_budzetu_ryzyko!Y11</f>
        <v>0</v>
      </c>
      <c r="AC8" s="144">
        <f>+Zal_1_WPF_uklad_budzetu_ryzyko!Z11</f>
        <v>0</v>
      </c>
      <c r="AD8" s="144">
        <f>+Zal_1_WPF_uklad_budzetu_ryzyko!AA11</f>
        <v>0</v>
      </c>
      <c r="AE8" s="144">
        <f>+Zal_1_WPF_uklad_budzetu_ryzyko!AB11</f>
        <v>0</v>
      </c>
      <c r="AF8" s="144">
        <f>+Zal_1_WPF_uklad_budzetu_ryzyko!AC11</f>
        <v>0</v>
      </c>
      <c r="AG8" s="144">
        <f>+Zal_1_WPF_uklad_budzetu_ryzyko!AD11</f>
        <v>0</v>
      </c>
      <c r="AH8" s="144">
        <f>+Zal_1_WPF_uklad_budzetu_ryzyko!AE11</f>
        <v>0</v>
      </c>
      <c r="AI8" s="144">
        <f>+Zal_1_WPF_uklad_budzetu_ryzyko!AF11</f>
        <v>0</v>
      </c>
      <c r="AJ8" s="144">
        <f>+Zal_1_WPF_uklad_budzetu_ryzyko!AG11</f>
        <v>0</v>
      </c>
    </row>
    <row r="9" spans="1:36" ht="14.25">
      <c r="A9" s="150" t="s">
        <v>186</v>
      </c>
      <c r="B9" s="171">
        <v>24401676.07</v>
      </c>
      <c r="C9" s="152">
        <v>26215083.9</v>
      </c>
      <c r="D9" s="152">
        <v>27027434.89</v>
      </c>
      <c r="E9" s="193">
        <v>0</v>
      </c>
      <c r="F9" s="144">
        <f>+Zal_1_WPF_uklad_budzetu_ryzyko!C15</f>
        <v>26930366</v>
      </c>
      <c r="G9" s="144">
        <f>+Zal_1_WPF_uklad_budzetu_ryzyko!D15</f>
        <v>27651737</v>
      </c>
      <c r="H9" s="144">
        <f>+Zal_1_WPF_uklad_budzetu_ryzyko!E15</f>
        <v>29036008</v>
      </c>
      <c r="I9" s="144">
        <f>+Zal_1_WPF_uklad_budzetu_ryzyko!F15</f>
        <v>29508344</v>
      </c>
      <c r="J9" s="144">
        <f>+Zal_1_WPF_uklad_budzetu_ryzyko!G15</f>
        <v>30366241</v>
      </c>
      <c r="K9" s="144">
        <f>+Zal_1_WPF_uklad_budzetu_ryzyko!H15</f>
        <v>31221747</v>
      </c>
      <c r="L9" s="144">
        <f>+Zal_1_WPF_uklad_budzetu_ryzyko!I15</f>
        <v>31702291</v>
      </c>
      <c r="M9" s="144">
        <f>+Zal_1_WPF_uklad_budzetu_ryzyko!J15</f>
        <v>33131348</v>
      </c>
      <c r="N9" s="144">
        <f>+Zal_1_WPF_uklad_budzetu_ryzyko!K15</f>
        <v>33556802</v>
      </c>
      <c r="O9" s="144">
        <f>+Zal_1_WPF_uklad_budzetu_ryzyko!L15</f>
        <v>34328608</v>
      </c>
      <c r="P9" s="144">
        <f>+Zal_1_WPF_uklad_budzetu_ryzyko!M15</f>
        <v>0</v>
      </c>
      <c r="Q9" s="144">
        <f>+Zal_1_WPF_uklad_budzetu_ryzyko!N15</f>
        <v>0</v>
      </c>
      <c r="R9" s="144">
        <f>+Zal_1_WPF_uklad_budzetu_ryzyko!O15</f>
        <v>0</v>
      </c>
      <c r="S9" s="144">
        <f>+Zal_1_WPF_uklad_budzetu_ryzyko!P15</f>
        <v>0</v>
      </c>
      <c r="T9" s="144">
        <f>+Zal_1_WPF_uklad_budzetu_ryzyko!Q15</f>
        <v>0</v>
      </c>
      <c r="U9" s="144">
        <f>+Zal_1_WPF_uklad_budzetu_ryzyko!R15</f>
        <v>0</v>
      </c>
      <c r="V9" s="144">
        <f>+Zal_1_WPF_uklad_budzetu_ryzyko!S15</f>
        <v>0</v>
      </c>
      <c r="W9" s="144">
        <f>+Zal_1_WPF_uklad_budzetu_ryzyko!T15</f>
        <v>0</v>
      </c>
      <c r="X9" s="144">
        <f>+Zal_1_WPF_uklad_budzetu_ryzyko!U15</f>
        <v>0</v>
      </c>
      <c r="Y9" s="144">
        <f>+Zal_1_WPF_uklad_budzetu_ryzyko!V15</f>
        <v>0</v>
      </c>
      <c r="Z9" s="144">
        <f>+Zal_1_WPF_uklad_budzetu_ryzyko!W15</f>
        <v>0</v>
      </c>
      <c r="AA9" s="144">
        <f>+Zal_1_WPF_uklad_budzetu_ryzyko!X15</f>
        <v>0</v>
      </c>
      <c r="AB9" s="144">
        <f>+Zal_1_WPF_uklad_budzetu_ryzyko!Y15</f>
        <v>0</v>
      </c>
      <c r="AC9" s="144">
        <f>+Zal_1_WPF_uklad_budzetu_ryzyko!Z15</f>
        <v>0</v>
      </c>
      <c r="AD9" s="144">
        <f>+Zal_1_WPF_uklad_budzetu_ryzyko!AA15</f>
        <v>0</v>
      </c>
      <c r="AE9" s="144">
        <f>+Zal_1_WPF_uklad_budzetu_ryzyko!AB15</f>
        <v>0</v>
      </c>
      <c r="AF9" s="144">
        <f>+Zal_1_WPF_uklad_budzetu_ryzyko!AC15</f>
        <v>0</v>
      </c>
      <c r="AG9" s="144">
        <f>+Zal_1_WPF_uklad_budzetu_ryzyko!AD15</f>
        <v>0</v>
      </c>
      <c r="AH9" s="144">
        <f>+Zal_1_WPF_uklad_budzetu_ryzyko!AE15</f>
        <v>0</v>
      </c>
      <c r="AI9" s="144">
        <f>+Zal_1_WPF_uklad_budzetu_ryzyko!AF15</f>
        <v>0</v>
      </c>
      <c r="AJ9" s="144">
        <f>+Zal_1_WPF_uklad_budzetu_ryzyko!AG15</f>
        <v>0</v>
      </c>
    </row>
    <row r="10" spans="1:36" ht="14.25">
      <c r="A10" s="151" t="s">
        <v>172</v>
      </c>
      <c r="B10" s="171">
        <f>+B7+B8-B9</f>
        <v>2991157.1500000022</v>
      </c>
      <c r="C10" s="171">
        <f>+C7+C8-C9</f>
        <v>1603734.6700000018</v>
      </c>
      <c r="D10" s="171">
        <f>+D7+D8-D9</f>
        <v>1747930.3000000007</v>
      </c>
      <c r="E10" s="171">
        <f>+E7+E8-E9</f>
        <v>0</v>
      </c>
      <c r="F10" s="152">
        <f>+F7-F9+F8</f>
        <v>3539046</v>
      </c>
      <c r="G10" s="152">
        <f aca="true" t="shared" si="1" ref="G10:AJ10">+G7-G9+G8</f>
        <v>2916798</v>
      </c>
      <c r="H10" s="152">
        <f t="shared" si="1"/>
        <v>2021266</v>
      </c>
      <c r="I10" s="152">
        <f t="shared" si="1"/>
        <v>2606833</v>
      </c>
      <c r="J10" s="152">
        <f t="shared" si="1"/>
        <v>2184000</v>
      </c>
      <c r="K10" s="152">
        <f t="shared" si="1"/>
        <v>2656476</v>
      </c>
      <c r="L10" s="152">
        <f t="shared" si="1"/>
        <v>3292279</v>
      </c>
      <c r="M10" s="152">
        <f t="shared" si="1"/>
        <v>2110059</v>
      </c>
      <c r="N10" s="152">
        <f t="shared" si="1"/>
        <v>3462847</v>
      </c>
      <c r="O10" s="152">
        <f t="shared" si="1"/>
        <v>3801630</v>
      </c>
      <c r="P10" s="152">
        <f t="shared" si="1"/>
        <v>0</v>
      </c>
      <c r="Q10" s="152">
        <f t="shared" si="1"/>
        <v>0</v>
      </c>
      <c r="R10" s="152">
        <f t="shared" si="1"/>
        <v>0</v>
      </c>
      <c r="S10" s="152">
        <f t="shared" si="1"/>
        <v>0</v>
      </c>
      <c r="T10" s="152">
        <f t="shared" si="1"/>
        <v>0</v>
      </c>
      <c r="U10" s="152">
        <f t="shared" si="1"/>
        <v>0</v>
      </c>
      <c r="V10" s="152">
        <f t="shared" si="1"/>
        <v>0</v>
      </c>
      <c r="W10" s="152">
        <f t="shared" si="1"/>
        <v>0</v>
      </c>
      <c r="X10" s="152">
        <f t="shared" si="1"/>
        <v>0</v>
      </c>
      <c r="Y10" s="152">
        <f t="shared" si="1"/>
        <v>0</v>
      </c>
      <c r="Z10" s="152">
        <f t="shared" si="1"/>
        <v>0</v>
      </c>
      <c r="AA10" s="152">
        <f t="shared" si="1"/>
        <v>0</v>
      </c>
      <c r="AB10" s="152">
        <f t="shared" si="1"/>
        <v>0</v>
      </c>
      <c r="AC10" s="152">
        <f t="shared" si="1"/>
        <v>0</v>
      </c>
      <c r="AD10" s="152">
        <f t="shared" si="1"/>
        <v>0</v>
      </c>
      <c r="AE10" s="152">
        <f t="shared" si="1"/>
        <v>0</v>
      </c>
      <c r="AF10" s="152">
        <f t="shared" si="1"/>
        <v>0</v>
      </c>
      <c r="AG10" s="152">
        <f t="shared" si="1"/>
        <v>0</v>
      </c>
      <c r="AH10" s="152">
        <f t="shared" si="1"/>
        <v>0</v>
      </c>
      <c r="AI10" s="152">
        <f t="shared" si="1"/>
        <v>0</v>
      </c>
      <c r="AJ10" s="152">
        <f t="shared" si="1"/>
        <v>0</v>
      </c>
    </row>
    <row r="11" spans="1:36" ht="14.25">
      <c r="A11" s="153" t="s">
        <v>187</v>
      </c>
      <c r="B11" s="171">
        <v>28278728.12</v>
      </c>
      <c r="C11" s="152">
        <v>31333879.19</v>
      </c>
      <c r="D11" s="152">
        <v>32116989.19</v>
      </c>
      <c r="E11" s="193">
        <v>0</v>
      </c>
      <c r="F11" s="144">
        <f>+Zal_1_WPF_uklad_budzetu_ryzyko!C6</f>
        <v>32171429</v>
      </c>
      <c r="G11" s="144">
        <f>+Zal_1_WPF_uklad_budzetu_ryzyko!D6</f>
        <v>31237363</v>
      </c>
      <c r="H11" s="144">
        <f>+Zal_1_WPF_uklad_budzetu_ryzyko!E6</f>
        <v>31567274</v>
      </c>
      <c r="I11" s="144">
        <f>+Zal_1_WPF_uklad_budzetu_ryzyko!F6</f>
        <v>34049571</v>
      </c>
      <c r="J11" s="144">
        <f>+Zal_1_WPF_uklad_budzetu_ryzyko!G6</f>
        <v>33060241</v>
      </c>
      <c r="K11" s="144">
        <f>+Zal_1_WPF_uklad_budzetu_ryzyko!H6</f>
        <v>33878223</v>
      </c>
      <c r="L11" s="144">
        <f>+Zal_1_WPF_uklad_budzetu_ryzyko!I6</f>
        <v>34994570</v>
      </c>
      <c r="M11" s="144">
        <f>+Zal_1_WPF_uklad_budzetu_ryzyko!J6</f>
        <v>35241407</v>
      </c>
      <c r="N11" s="144">
        <f>+Zal_1_WPF_uklad_budzetu_ryzyko!K6</f>
        <v>37019649</v>
      </c>
      <c r="O11" s="144">
        <f>+Zal_1_WPF_uklad_budzetu_ryzyko!L6</f>
        <v>38130238</v>
      </c>
      <c r="P11" s="144">
        <f>+Zal_1_WPF_uklad_budzetu_ryzyko!M6</f>
        <v>0</v>
      </c>
      <c r="Q11" s="144">
        <f>+Zal_1_WPF_uklad_budzetu_ryzyko!N6</f>
        <v>0</v>
      </c>
      <c r="R11" s="144">
        <f>+Zal_1_WPF_uklad_budzetu_ryzyko!O6</f>
        <v>0</v>
      </c>
      <c r="S11" s="144">
        <f>+Zal_1_WPF_uklad_budzetu_ryzyko!P6</f>
        <v>0</v>
      </c>
      <c r="T11" s="144">
        <f>+Zal_1_WPF_uklad_budzetu_ryzyko!Q6</f>
        <v>0</v>
      </c>
      <c r="U11" s="144">
        <f>+Zal_1_WPF_uklad_budzetu_ryzyko!R6</f>
        <v>0</v>
      </c>
      <c r="V11" s="144">
        <f>+Zal_1_WPF_uklad_budzetu_ryzyko!S6</f>
        <v>0</v>
      </c>
      <c r="W11" s="144">
        <f>+Zal_1_WPF_uklad_budzetu_ryzyko!T6</f>
        <v>0</v>
      </c>
      <c r="X11" s="144">
        <f>+Zal_1_WPF_uklad_budzetu_ryzyko!U6</f>
        <v>0</v>
      </c>
      <c r="Y11" s="144">
        <f>+Zal_1_WPF_uklad_budzetu_ryzyko!V6</f>
        <v>0</v>
      </c>
      <c r="Z11" s="144">
        <f>+Zal_1_WPF_uklad_budzetu_ryzyko!W6</f>
        <v>0</v>
      </c>
      <c r="AA11" s="144">
        <f>+Zal_1_WPF_uklad_budzetu_ryzyko!X6</f>
        <v>0</v>
      </c>
      <c r="AB11" s="144">
        <f>+Zal_1_WPF_uklad_budzetu_ryzyko!Y6</f>
        <v>0</v>
      </c>
      <c r="AC11" s="144">
        <f>+Zal_1_WPF_uklad_budzetu_ryzyko!Z6</f>
        <v>0</v>
      </c>
      <c r="AD11" s="144">
        <f>+Zal_1_WPF_uklad_budzetu_ryzyko!AA6</f>
        <v>0</v>
      </c>
      <c r="AE11" s="144">
        <f>+Zal_1_WPF_uklad_budzetu_ryzyko!AB6</f>
        <v>0</v>
      </c>
      <c r="AF11" s="144">
        <f>+Zal_1_WPF_uklad_budzetu_ryzyko!AC6</f>
        <v>0</v>
      </c>
      <c r="AG11" s="144">
        <f>+Zal_1_WPF_uklad_budzetu_ryzyko!AD6</f>
        <v>0</v>
      </c>
      <c r="AH11" s="144">
        <f>+Zal_1_WPF_uklad_budzetu_ryzyko!AE6</f>
        <v>0</v>
      </c>
      <c r="AI11" s="144">
        <f>+Zal_1_WPF_uklad_budzetu_ryzyko!AF6</f>
        <v>0</v>
      </c>
      <c r="AJ11" s="144">
        <f>+Zal_1_WPF_uklad_budzetu_ryzyko!AG6</f>
        <v>0</v>
      </c>
    </row>
    <row r="12" spans="1:36" ht="14.25">
      <c r="A12" s="151" t="s">
        <v>184</v>
      </c>
      <c r="B12" s="138">
        <f>+IF(B11&lt;&gt;0,B10/B11,0)</f>
        <v>0.10577410473721129</v>
      </c>
      <c r="C12" s="138">
        <f>+IF(C11&lt;&gt;0,C10/C11,0)</f>
        <v>0.05118212974127452</v>
      </c>
      <c r="D12" s="138">
        <f>+IF(D11&lt;&gt;0,D10/D11,0)</f>
        <v>0.05442385304735349</v>
      </c>
      <c r="E12" s="138">
        <f>+IF(E11&lt;&gt;0,E10/E11,0)</f>
        <v>0</v>
      </c>
      <c r="F12" s="145">
        <f>+IF(F11&lt;&gt;0,F10/F11,0)</f>
        <v>0.11000586887203549</v>
      </c>
      <c r="G12" s="145">
        <f aca="true" t="shared" si="2" ref="G12:AJ12">+IF(G11&lt;&gt;0,G10/G11,0)</f>
        <v>0.09337529547548556</v>
      </c>
      <c r="H12" s="145">
        <f t="shared" si="2"/>
        <v>0.06403042594048507</v>
      </c>
      <c r="I12" s="145">
        <f t="shared" si="2"/>
        <v>0.07655993668760173</v>
      </c>
      <c r="J12" s="145">
        <f t="shared" si="2"/>
        <v>0.06606122441757155</v>
      </c>
      <c r="K12" s="145">
        <f t="shared" si="2"/>
        <v>0.07841249524805359</v>
      </c>
      <c r="L12" s="145">
        <f t="shared" si="2"/>
        <v>0.09407971008073539</v>
      </c>
      <c r="M12" s="145">
        <f t="shared" si="2"/>
        <v>0.05987442555854822</v>
      </c>
      <c r="N12" s="145">
        <f t="shared" si="2"/>
        <v>0.09354078424676582</v>
      </c>
      <c r="O12" s="145">
        <f t="shared" si="2"/>
        <v>0.09970118728343631</v>
      </c>
      <c r="P12" s="145">
        <f t="shared" si="2"/>
        <v>0</v>
      </c>
      <c r="Q12" s="145">
        <f t="shared" si="2"/>
        <v>0</v>
      </c>
      <c r="R12" s="145">
        <f t="shared" si="2"/>
        <v>0</v>
      </c>
      <c r="S12" s="145">
        <f t="shared" si="2"/>
        <v>0</v>
      </c>
      <c r="T12" s="145">
        <f t="shared" si="2"/>
        <v>0</v>
      </c>
      <c r="U12" s="145">
        <f t="shared" si="2"/>
        <v>0</v>
      </c>
      <c r="V12" s="145">
        <f t="shared" si="2"/>
        <v>0</v>
      </c>
      <c r="W12" s="145">
        <f t="shared" si="2"/>
        <v>0</v>
      </c>
      <c r="X12" s="145">
        <f t="shared" si="2"/>
        <v>0</v>
      </c>
      <c r="Y12" s="145">
        <f t="shared" si="2"/>
        <v>0</v>
      </c>
      <c r="Z12" s="145">
        <f t="shared" si="2"/>
        <v>0</v>
      </c>
      <c r="AA12" s="145">
        <f t="shared" si="2"/>
        <v>0</v>
      </c>
      <c r="AB12" s="145">
        <f t="shared" si="2"/>
        <v>0</v>
      </c>
      <c r="AC12" s="145">
        <f t="shared" si="2"/>
        <v>0</v>
      </c>
      <c r="AD12" s="145">
        <f t="shared" si="2"/>
        <v>0</v>
      </c>
      <c r="AE12" s="145">
        <f t="shared" si="2"/>
        <v>0</v>
      </c>
      <c r="AF12" s="145">
        <f t="shared" si="2"/>
        <v>0</v>
      </c>
      <c r="AG12" s="145">
        <f t="shared" si="2"/>
        <v>0</v>
      </c>
      <c r="AH12" s="145">
        <f t="shared" si="2"/>
        <v>0</v>
      </c>
      <c r="AI12" s="145">
        <f t="shared" si="2"/>
        <v>0</v>
      </c>
      <c r="AJ12" s="145">
        <f t="shared" si="2"/>
        <v>0</v>
      </c>
    </row>
    <row r="13" spans="1:36" ht="14.25">
      <c r="A13" s="154" t="s">
        <v>173</v>
      </c>
      <c r="B13" s="289" t="s">
        <v>174</v>
      </c>
      <c r="C13" s="290"/>
      <c r="D13" s="291"/>
      <c r="E13" s="188"/>
      <c r="F13" s="169">
        <f>+SUM(B12:D12)/3</f>
        <v>0.07046002917527977</v>
      </c>
      <c r="G13" s="169">
        <f>+SUM(C12:D12,F12)/3</f>
        <v>0.07187061722022116</v>
      </c>
      <c r="H13" s="169">
        <f>+SUM(D12,F12:G12)/3</f>
        <v>0.08593500579829151</v>
      </c>
      <c r="I13" s="169">
        <f aca="true" t="shared" si="3" ref="I13:AJ13">+SUM(F12:H12)/3</f>
        <v>0.08913719676266872</v>
      </c>
      <c r="J13" s="169">
        <f t="shared" si="3"/>
        <v>0.0779885527011908</v>
      </c>
      <c r="K13" s="169">
        <f t="shared" si="3"/>
        <v>0.06888386234855277</v>
      </c>
      <c r="L13" s="169">
        <f t="shared" si="3"/>
        <v>0.07367788545107562</v>
      </c>
      <c r="M13" s="169">
        <f t="shared" si="3"/>
        <v>0.0795178099154535</v>
      </c>
      <c r="N13" s="169">
        <f t="shared" si="3"/>
        <v>0.0774555436291124</v>
      </c>
      <c r="O13" s="169">
        <f t="shared" si="3"/>
        <v>0.08249830662868314</v>
      </c>
      <c r="P13" s="169">
        <f t="shared" si="3"/>
        <v>0.08437213236291678</v>
      </c>
      <c r="Q13" s="169">
        <f t="shared" si="3"/>
        <v>0.06441399051006737</v>
      </c>
      <c r="R13" s="169">
        <f t="shared" si="3"/>
        <v>0.03323372909447877</v>
      </c>
      <c r="S13" s="169">
        <f t="shared" si="3"/>
        <v>0</v>
      </c>
      <c r="T13" s="169">
        <f t="shared" si="3"/>
        <v>0</v>
      </c>
      <c r="U13" s="169">
        <f t="shared" si="3"/>
        <v>0</v>
      </c>
      <c r="V13" s="169">
        <f t="shared" si="3"/>
        <v>0</v>
      </c>
      <c r="W13" s="169">
        <f t="shared" si="3"/>
        <v>0</v>
      </c>
      <c r="X13" s="169">
        <f t="shared" si="3"/>
        <v>0</v>
      </c>
      <c r="Y13" s="169">
        <f t="shared" si="3"/>
        <v>0</v>
      </c>
      <c r="Z13" s="169">
        <f t="shared" si="3"/>
        <v>0</v>
      </c>
      <c r="AA13" s="169">
        <f t="shared" si="3"/>
        <v>0</v>
      </c>
      <c r="AB13" s="169">
        <f t="shared" si="3"/>
        <v>0</v>
      </c>
      <c r="AC13" s="169">
        <f t="shared" si="3"/>
        <v>0</v>
      </c>
      <c r="AD13" s="169">
        <f t="shared" si="3"/>
        <v>0</v>
      </c>
      <c r="AE13" s="169">
        <f t="shared" si="3"/>
        <v>0</v>
      </c>
      <c r="AF13" s="169">
        <f t="shared" si="3"/>
        <v>0</v>
      </c>
      <c r="AG13" s="169">
        <f t="shared" si="3"/>
        <v>0</v>
      </c>
      <c r="AH13" s="169">
        <f t="shared" si="3"/>
        <v>0</v>
      </c>
      <c r="AI13" s="169">
        <f t="shared" si="3"/>
        <v>0</v>
      </c>
      <c r="AJ13" s="169">
        <f t="shared" si="3"/>
        <v>0</v>
      </c>
    </row>
    <row r="14" spans="2:36" ht="14.25">
      <c r="B14" s="156"/>
      <c r="C14" s="156"/>
      <c r="D14" s="167" t="s">
        <v>176</v>
      </c>
      <c r="E14" s="167"/>
      <c r="F14" s="168">
        <f>+Zal_1_WPF_uklad_budzetu_ryzyko!C52</f>
        <v>0.0705</v>
      </c>
      <c r="G14" s="168">
        <f>+Zal_1_WPF_uklad_budzetu_ryzyko!D52</f>
        <v>0.0719</v>
      </c>
      <c r="H14" s="168">
        <f>+Zal_1_WPF_uklad_budzetu_ryzyko!E52</f>
        <v>0.0859</v>
      </c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</row>
    <row r="15" spans="1:36" ht="14.25">
      <c r="A15" s="189"/>
      <c r="B15" s="190"/>
      <c r="C15" s="190"/>
      <c r="D15" s="167" t="s">
        <v>211</v>
      </c>
      <c r="E15" s="190"/>
      <c r="F15" s="191">
        <f>+SUM(B12:C12,E12)/3</f>
        <v>0.05231874482616194</v>
      </c>
      <c r="G15" s="191">
        <f>+(C12+E12+F12)/3</f>
        <v>0.05372933287110334</v>
      </c>
      <c r="H15" s="191">
        <f>+(E12+F12+G12)/3</f>
        <v>0.06779372144917369</v>
      </c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</row>
    <row r="16" spans="1:36" ht="14.25">
      <c r="A16" s="155" t="s">
        <v>175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</row>
    <row r="17" spans="1:36" ht="15" thickBot="1">
      <c r="A17" s="175"/>
      <c r="B17" s="301" t="s">
        <v>177</v>
      </c>
      <c r="C17" s="301"/>
      <c r="D17" s="301"/>
      <c r="E17" s="302"/>
      <c r="F17" s="146">
        <v>2012</v>
      </c>
      <c r="G17" s="146">
        <v>2013</v>
      </c>
      <c r="H17" s="146">
        <v>2014</v>
      </c>
      <c r="I17" s="146">
        <v>2015</v>
      </c>
      <c r="J17" s="146">
        <v>2016</v>
      </c>
      <c r="K17" s="146">
        <v>2017</v>
      </c>
      <c r="L17" s="146">
        <v>2018</v>
      </c>
      <c r="M17" s="146">
        <v>2019</v>
      </c>
      <c r="N17" s="146">
        <v>2020</v>
      </c>
      <c r="O17" s="146">
        <v>2021</v>
      </c>
      <c r="P17" s="146">
        <v>2022</v>
      </c>
      <c r="Q17" s="146">
        <v>2023</v>
      </c>
      <c r="R17" s="146">
        <v>2024</v>
      </c>
      <c r="S17" s="146">
        <v>2025</v>
      </c>
      <c r="T17" s="146">
        <v>2026</v>
      </c>
      <c r="U17" s="146">
        <v>2027</v>
      </c>
      <c r="V17" s="146">
        <v>2028</v>
      </c>
      <c r="W17" s="146">
        <v>2029</v>
      </c>
      <c r="X17" s="146">
        <v>2030</v>
      </c>
      <c r="Y17" s="146">
        <v>2031</v>
      </c>
      <c r="Z17" s="146">
        <v>2032</v>
      </c>
      <c r="AA17" s="146">
        <v>2033</v>
      </c>
      <c r="AB17" s="146">
        <v>2034</v>
      </c>
      <c r="AC17" s="146">
        <v>2035</v>
      </c>
      <c r="AD17" s="146">
        <v>2036</v>
      </c>
      <c r="AE17" s="146">
        <v>2037</v>
      </c>
      <c r="AF17" s="146">
        <v>2038</v>
      </c>
      <c r="AG17" s="146">
        <v>2039</v>
      </c>
      <c r="AH17" s="146">
        <v>2040</v>
      </c>
      <c r="AI17" s="146">
        <v>2041</v>
      </c>
      <c r="AJ17" s="146">
        <v>2042</v>
      </c>
    </row>
    <row r="18" spans="1:36" ht="14.25">
      <c r="A18" s="157" t="s">
        <v>178</v>
      </c>
      <c r="B18" s="292" t="s">
        <v>174</v>
      </c>
      <c r="C18" s="293"/>
      <c r="D18" s="293"/>
      <c r="E18" s="294"/>
      <c r="F18" s="158">
        <f>+Zal_1_WPF_uklad_budzetu_ryzyko!C40</f>
        <v>3670600</v>
      </c>
      <c r="G18" s="158">
        <f>+Zal_1_WPF_uklad_budzetu_ryzyko!D40</f>
        <v>781000</v>
      </c>
      <c r="H18" s="158">
        <f>+Zal_1_WPF_uklad_budzetu_ryzyko!E40</f>
        <v>1396900</v>
      </c>
      <c r="I18" s="158">
        <f>+Zal_1_WPF_uklad_budzetu_ryzyko!F40</f>
        <v>1500000</v>
      </c>
      <c r="J18" s="158">
        <f>+Zal_1_WPF_uklad_budzetu_ryzyko!G40</f>
        <v>1694000</v>
      </c>
      <c r="K18" s="158">
        <f>+Zal_1_WPF_uklad_budzetu_ryzyko!H40</f>
        <v>1950000</v>
      </c>
      <c r="L18" s="158">
        <f>+Zal_1_WPF_uklad_budzetu_ryzyko!I40</f>
        <v>2450000</v>
      </c>
      <c r="M18" s="158">
        <f>+Zal_1_WPF_uklad_budzetu_ryzyko!J40</f>
        <v>500000</v>
      </c>
      <c r="N18" s="158">
        <f>+Zal_1_WPF_uklad_budzetu_ryzyko!K40</f>
        <v>2566576</v>
      </c>
      <c r="O18" s="158">
        <f>+Zal_1_WPF_uklad_budzetu_ryzyko!L40</f>
        <v>1693635</v>
      </c>
      <c r="P18" s="158">
        <f>+Zal_1_WPF_uklad_budzetu_ryzyko!M40</f>
        <v>0</v>
      </c>
      <c r="Q18" s="158">
        <f>+Zal_1_WPF_uklad_budzetu_ryzyko!N40</f>
        <v>0</v>
      </c>
      <c r="R18" s="158">
        <f>+Zal_1_WPF_uklad_budzetu_ryzyko!O40</f>
        <v>0</v>
      </c>
      <c r="S18" s="158">
        <f>+Zal_1_WPF_uklad_budzetu_ryzyko!P40</f>
        <v>0</v>
      </c>
      <c r="T18" s="158">
        <f>+Zal_1_WPF_uklad_budzetu_ryzyko!Q40</f>
        <v>0</v>
      </c>
      <c r="U18" s="158">
        <f>+Zal_1_WPF_uklad_budzetu_ryzyko!R40</f>
        <v>0</v>
      </c>
      <c r="V18" s="158">
        <f>+Zal_1_WPF_uklad_budzetu_ryzyko!S40</f>
        <v>0</v>
      </c>
      <c r="W18" s="158">
        <f>+Zal_1_WPF_uklad_budzetu_ryzyko!T40</f>
        <v>0</v>
      </c>
      <c r="X18" s="158">
        <f>+Zal_1_WPF_uklad_budzetu_ryzyko!U40</f>
        <v>0</v>
      </c>
      <c r="Y18" s="158">
        <f>+Zal_1_WPF_uklad_budzetu_ryzyko!V40</f>
        <v>0</v>
      </c>
      <c r="Z18" s="158">
        <f>+Zal_1_WPF_uklad_budzetu_ryzyko!W40</f>
        <v>0</v>
      </c>
      <c r="AA18" s="158">
        <f>+Zal_1_WPF_uklad_budzetu_ryzyko!X40</f>
        <v>0</v>
      </c>
      <c r="AB18" s="158">
        <f>+Zal_1_WPF_uklad_budzetu_ryzyko!Y40</f>
        <v>0</v>
      </c>
      <c r="AC18" s="158">
        <f>+Zal_1_WPF_uklad_budzetu_ryzyko!Z40</f>
        <v>0</v>
      </c>
      <c r="AD18" s="158">
        <f>+Zal_1_WPF_uklad_budzetu_ryzyko!AA40</f>
        <v>0</v>
      </c>
      <c r="AE18" s="158">
        <f>+Zal_1_WPF_uklad_budzetu_ryzyko!AB40</f>
        <v>0</v>
      </c>
      <c r="AF18" s="158">
        <f>+Zal_1_WPF_uklad_budzetu_ryzyko!AC40</f>
        <v>0</v>
      </c>
      <c r="AG18" s="158">
        <f>+Zal_1_WPF_uklad_budzetu_ryzyko!AD40</f>
        <v>0</v>
      </c>
      <c r="AH18" s="158">
        <f>+Zal_1_WPF_uklad_budzetu_ryzyko!AE40</f>
        <v>0</v>
      </c>
      <c r="AI18" s="158">
        <f>+Zal_1_WPF_uklad_budzetu_ryzyko!AF40</f>
        <v>0</v>
      </c>
      <c r="AJ18" s="158">
        <f>+Zal_1_WPF_uklad_budzetu_ryzyko!AG40</f>
        <v>0</v>
      </c>
    </row>
    <row r="19" spans="1:36" ht="14.25">
      <c r="A19" s="159" t="s">
        <v>185</v>
      </c>
      <c r="B19" s="295"/>
      <c r="C19" s="296"/>
      <c r="D19" s="296"/>
      <c r="E19" s="297"/>
      <c r="F19" s="144">
        <f>+Zal_1_WPF_uklad_budzetu_ryzyko!C23</f>
        <v>720000</v>
      </c>
      <c r="G19" s="144">
        <f>+Zal_1_WPF_uklad_budzetu_ryzyko!D23</f>
        <v>600000</v>
      </c>
      <c r="H19" s="144">
        <f>+Zal_1_WPF_uklad_budzetu_ryzyko!E23</f>
        <v>530000</v>
      </c>
      <c r="I19" s="144">
        <f>+Zal_1_WPF_uklad_budzetu_ryzyko!F23</f>
        <v>490000</v>
      </c>
      <c r="J19" s="144">
        <f>+Zal_1_WPF_uklad_budzetu_ryzyko!G23</f>
        <v>350000</v>
      </c>
      <c r="K19" s="144">
        <f>+Zal_1_WPF_uklad_budzetu_ryzyko!H23</f>
        <v>250000</v>
      </c>
      <c r="L19" s="144">
        <f>+Zal_1_WPF_uklad_budzetu_ryzyko!I23</f>
        <v>120000</v>
      </c>
      <c r="M19" s="144">
        <f>+Zal_1_WPF_uklad_budzetu_ryzyko!J23</f>
        <v>216400</v>
      </c>
      <c r="N19" s="144">
        <f>+Zal_1_WPF_uklad_budzetu_ryzyko!K23</f>
        <v>130000</v>
      </c>
      <c r="O19" s="144">
        <f>+Zal_1_WPF_uklad_budzetu_ryzyko!L23</f>
        <v>120000</v>
      </c>
      <c r="P19" s="144">
        <f>+Zal_1_WPF_uklad_budzetu_ryzyko!M23</f>
        <v>0</v>
      </c>
      <c r="Q19" s="144">
        <f>+Zal_1_WPF_uklad_budzetu_ryzyko!N23</f>
        <v>0</v>
      </c>
      <c r="R19" s="144">
        <f>+Zal_1_WPF_uklad_budzetu_ryzyko!O23</f>
        <v>0</v>
      </c>
      <c r="S19" s="144">
        <f>+Zal_1_WPF_uklad_budzetu_ryzyko!P23</f>
        <v>0</v>
      </c>
      <c r="T19" s="144">
        <f>+Zal_1_WPF_uklad_budzetu_ryzyko!Q23</f>
        <v>0</v>
      </c>
      <c r="U19" s="144">
        <f>+Zal_1_WPF_uklad_budzetu_ryzyko!R23</f>
        <v>0</v>
      </c>
      <c r="V19" s="144">
        <f>+Zal_1_WPF_uklad_budzetu_ryzyko!S23</f>
        <v>0</v>
      </c>
      <c r="W19" s="144">
        <f>+Zal_1_WPF_uklad_budzetu_ryzyko!T23</f>
        <v>0</v>
      </c>
      <c r="X19" s="144">
        <f>+Zal_1_WPF_uklad_budzetu_ryzyko!U23</f>
        <v>0</v>
      </c>
      <c r="Y19" s="144">
        <f>+Zal_1_WPF_uklad_budzetu_ryzyko!V23</f>
        <v>0</v>
      </c>
      <c r="Z19" s="144">
        <f>+Zal_1_WPF_uklad_budzetu_ryzyko!W23</f>
        <v>0</v>
      </c>
      <c r="AA19" s="144">
        <f>+Zal_1_WPF_uklad_budzetu_ryzyko!X23</f>
        <v>0</v>
      </c>
      <c r="AB19" s="144">
        <f>+Zal_1_WPF_uklad_budzetu_ryzyko!Y23</f>
        <v>0</v>
      </c>
      <c r="AC19" s="144">
        <f>+Zal_1_WPF_uklad_budzetu_ryzyko!Z23</f>
        <v>0</v>
      </c>
      <c r="AD19" s="144">
        <f>+Zal_1_WPF_uklad_budzetu_ryzyko!AA23</f>
        <v>0</v>
      </c>
      <c r="AE19" s="144">
        <f>+Zal_1_WPF_uklad_budzetu_ryzyko!AB23</f>
        <v>0</v>
      </c>
      <c r="AF19" s="144">
        <f>+Zal_1_WPF_uklad_budzetu_ryzyko!AC23</f>
        <v>0</v>
      </c>
      <c r="AG19" s="144">
        <f>+Zal_1_WPF_uklad_budzetu_ryzyko!AD23</f>
        <v>0</v>
      </c>
      <c r="AH19" s="144">
        <f>+Zal_1_WPF_uklad_budzetu_ryzyko!AE23</f>
        <v>0</v>
      </c>
      <c r="AI19" s="144">
        <f>+Zal_1_WPF_uklad_budzetu_ryzyko!AF23</f>
        <v>0</v>
      </c>
      <c r="AJ19" s="144">
        <f>+Zal_1_WPF_uklad_budzetu_ryzyko!AG23</f>
        <v>0</v>
      </c>
    </row>
    <row r="20" spans="1:36" ht="14.25">
      <c r="A20" s="159" t="s">
        <v>179</v>
      </c>
      <c r="B20" s="295"/>
      <c r="C20" s="296"/>
      <c r="D20" s="296"/>
      <c r="E20" s="297"/>
      <c r="F20" s="144">
        <f>+Zal_1_WPF_uklad_budzetu_ryzyko!C17</f>
        <v>0</v>
      </c>
      <c r="G20" s="144">
        <f>+Zal_1_WPF_uklad_budzetu_ryzyko!D17</f>
        <v>0</v>
      </c>
      <c r="H20" s="144">
        <f>+Zal_1_WPF_uklad_budzetu_ryzyko!E17</f>
        <v>0</v>
      </c>
      <c r="I20" s="144">
        <f>+Zal_1_WPF_uklad_budzetu_ryzyko!F17</f>
        <v>0</v>
      </c>
      <c r="J20" s="144">
        <f>+Zal_1_WPF_uklad_budzetu_ryzyko!G17</f>
        <v>0</v>
      </c>
      <c r="K20" s="144">
        <f>+Zal_1_WPF_uklad_budzetu_ryzyko!H17</f>
        <v>0</v>
      </c>
      <c r="L20" s="144">
        <f>+Zal_1_WPF_uklad_budzetu_ryzyko!I17</f>
        <v>0</v>
      </c>
      <c r="M20" s="144">
        <f>+Zal_1_WPF_uklad_budzetu_ryzyko!J17</f>
        <v>0</v>
      </c>
      <c r="N20" s="144">
        <f>+Zal_1_WPF_uklad_budzetu_ryzyko!K17</f>
        <v>0</v>
      </c>
      <c r="O20" s="144">
        <f>+Zal_1_WPF_uklad_budzetu_ryzyko!L17</f>
        <v>0</v>
      </c>
      <c r="P20" s="144">
        <f>+Zal_1_WPF_uklad_budzetu_ryzyko!M17</f>
        <v>0</v>
      </c>
      <c r="Q20" s="144">
        <f>+Zal_1_WPF_uklad_budzetu_ryzyko!N17</f>
        <v>0</v>
      </c>
      <c r="R20" s="144">
        <f>+Zal_1_WPF_uklad_budzetu_ryzyko!O17</f>
        <v>0</v>
      </c>
      <c r="S20" s="144">
        <f>+Zal_1_WPF_uklad_budzetu_ryzyko!P17</f>
        <v>0</v>
      </c>
      <c r="T20" s="144">
        <f>+Zal_1_WPF_uklad_budzetu_ryzyko!Q17</f>
        <v>0</v>
      </c>
      <c r="U20" s="144">
        <f>+Zal_1_WPF_uklad_budzetu_ryzyko!R17</f>
        <v>0</v>
      </c>
      <c r="V20" s="144">
        <f>+Zal_1_WPF_uklad_budzetu_ryzyko!S17</f>
        <v>0</v>
      </c>
      <c r="W20" s="144">
        <f>+Zal_1_WPF_uklad_budzetu_ryzyko!T17</f>
        <v>0</v>
      </c>
      <c r="X20" s="144">
        <f>+Zal_1_WPF_uklad_budzetu_ryzyko!U17</f>
        <v>0</v>
      </c>
      <c r="Y20" s="144">
        <f>+Zal_1_WPF_uklad_budzetu_ryzyko!V17</f>
        <v>0</v>
      </c>
      <c r="Z20" s="144">
        <f>+Zal_1_WPF_uklad_budzetu_ryzyko!W17</f>
        <v>0</v>
      </c>
      <c r="AA20" s="144">
        <f>+Zal_1_WPF_uklad_budzetu_ryzyko!X17</f>
        <v>0</v>
      </c>
      <c r="AB20" s="144">
        <f>+Zal_1_WPF_uklad_budzetu_ryzyko!Y17</f>
        <v>0</v>
      </c>
      <c r="AC20" s="144">
        <f>+Zal_1_WPF_uklad_budzetu_ryzyko!Z17</f>
        <v>0</v>
      </c>
      <c r="AD20" s="144">
        <f>+Zal_1_WPF_uklad_budzetu_ryzyko!AA17</f>
        <v>0</v>
      </c>
      <c r="AE20" s="144">
        <f>+Zal_1_WPF_uklad_budzetu_ryzyko!AB17</f>
        <v>0</v>
      </c>
      <c r="AF20" s="144">
        <f>+Zal_1_WPF_uklad_budzetu_ryzyko!AC17</f>
        <v>0</v>
      </c>
      <c r="AG20" s="144">
        <f>+Zal_1_WPF_uklad_budzetu_ryzyko!AD17</f>
        <v>0</v>
      </c>
      <c r="AH20" s="144">
        <f>+Zal_1_WPF_uklad_budzetu_ryzyko!AE17</f>
        <v>0</v>
      </c>
      <c r="AI20" s="144">
        <f>+Zal_1_WPF_uklad_budzetu_ryzyko!AF17</f>
        <v>0</v>
      </c>
      <c r="AJ20" s="144">
        <f>+Zal_1_WPF_uklad_budzetu_ryzyko!AG17</f>
        <v>0</v>
      </c>
    </row>
    <row r="21" spans="1:36" ht="15" thickBot="1">
      <c r="A21" s="160" t="s">
        <v>180</v>
      </c>
      <c r="B21" s="295"/>
      <c r="C21" s="296"/>
      <c r="D21" s="296"/>
      <c r="E21" s="297"/>
      <c r="F21" s="161">
        <f>+SUM(F18:F20)</f>
        <v>4390600</v>
      </c>
      <c r="G21" s="161">
        <f aca="true" t="shared" si="4" ref="G21:AJ21">+SUM(G18:G20)</f>
        <v>1381000</v>
      </c>
      <c r="H21" s="161">
        <f t="shared" si="4"/>
        <v>1926900</v>
      </c>
      <c r="I21" s="161">
        <f t="shared" si="4"/>
        <v>1990000</v>
      </c>
      <c r="J21" s="161">
        <f t="shared" si="4"/>
        <v>2044000</v>
      </c>
      <c r="K21" s="161">
        <f t="shared" si="4"/>
        <v>2200000</v>
      </c>
      <c r="L21" s="161">
        <f t="shared" si="4"/>
        <v>2570000</v>
      </c>
      <c r="M21" s="161">
        <f t="shared" si="4"/>
        <v>716400</v>
      </c>
      <c r="N21" s="161">
        <f t="shared" si="4"/>
        <v>2696576</v>
      </c>
      <c r="O21" s="161">
        <f t="shared" si="4"/>
        <v>1813635</v>
      </c>
      <c r="P21" s="161">
        <f t="shared" si="4"/>
        <v>0</v>
      </c>
      <c r="Q21" s="161">
        <f t="shared" si="4"/>
        <v>0</v>
      </c>
      <c r="R21" s="161">
        <f t="shared" si="4"/>
        <v>0</v>
      </c>
      <c r="S21" s="161">
        <f t="shared" si="4"/>
        <v>0</v>
      </c>
      <c r="T21" s="161">
        <f t="shared" si="4"/>
        <v>0</v>
      </c>
      <c r="U21" s="161">
        <f t="shared" si="4"/>
        <v>0</v>
      </c>
      <c r="V21" s="161">
        <f t="shared" si="4"/>
        <v>0</v>
      </c>
      <c r="W21" s="161">
        <f t="shared" si="4"/>
        <v>0</v>
      </c>
      <c r="X21" s="161">
        <f t="shared" si="4"/>
        <v>0</v>
      </c>
      <c r="Y21" s="161">
        <f t="shared" si="4"/>
        <v>0</v>
      </c>
      <c r="Z21" s="161">
        <f t="shared" si="4"/>
        <v>0</v>
      </c>
      <c r="AA21" s="161">
        <f t="shared" si="4"/>
        <v>0</v>
      </c>
      <c r="AB21" s="161">
        <f t="shared" si="4"/>
        <v>0</v>
      </c>
      <c r="AC21" s="161">
        <f t="shared" si="4"/>
        <v>0</v>
      </c>
      <c r="AD21" s="161">
        <f t="shared" si="4"/>
        <v>0</v>
      </c>
      <c r="AE21" s="161">
        <f t="shared" si="4"/>
        <v>0</v>
      </c>
      <c r="AF21" s="161">
        <f t="shared" si="4"/>
        <v>0</v>
      </c>
      <c r="AG21" s="161">
        <f t="shared" si="4"/>
        <v>0</v>
      </c>
      <c r="AH21" s="161">
        <f t="shared" si="4"/>
        <v>0</v>
      </c>
      <c r="AI21" s="161">
        <f t="shared" si="4"/>
        <v>0</v>
      </c>
      <c r="AJ21" s="161">
        <f t="shared" si="4"/>
        <v>0</v>
      </c>
    </row>
    <row r="22" spans="1:36" ht="15" thickBot="1">
      <c r="A22" s="162" t="s">
        <v>188</v>
      </c>
      <c r="B22" s="295"/>
      <c r="C22" s="296"/>
      <c r="D22" s="296"/>
      <c r="E22" s="297"/>
      <c r="F22" s="163">
        <f>+F11</f>
        <v>32171429</v>
      </c>
      <c r="G22" s="163">
        <f aca="true" t="shared" si="5" ref="G22:AJ22">+G11</f>
        <v>31237363</v>
      </c>
      <c r="H22" s="163">
        <f t="shared" si="5"/>
        <v>31567274</v>
      </c>
      <c r="I22" s="163">
        <f t="shared" si="5"/>
        <v>34049571</v>
      </c>
      <c r="J22" s="163">
        <f t="shared" si="5"/>
        <v>33060241</v>
      </c>
      <c r="K22" s="163">
        <f t="shared" si="5"/>
        <v>33878223</v>
      </c>
      <c r="L22" s="163">
        <f t="shared" si="5"/>
        <v>34994570</v>
      </c>
      <c r="M22" s="163">
        <f t="shared" si="5"/>
        <v>35241407</v>
      </c>
      <c r="N22" s="163">
        <f t="shared" si="5"/>
        <v>37019649</v>
      </c>
      <c r="O22" s="163">
        <f t="shared" si="5"/>
        <v>38130238</v>
      </c>
      <c r="P22" s="163">
        <f t="shared" si="5"/>
        <v>0</v>
      </c>
      <c r="Q22" s="163">
        <f t="shared" si="5"/>
        <v>0</v>
      </c>
      <c r="R22" s="163">
        <f t="shared" si="5"/>
        <v>0</v>
      </c>
      <c r="S22" s="163">
        <f t="shared" si="5"/>
        <v>0</v>
      </c>
      <c r="T22" s="163">
        <f t="shared" si="5"/>
        <v>0</v>
      </c>
      <c r="U22" s="163">
        <f t="shared" si="5"/>
        <v>0</v>
      </c>
      <c r="V22" s="163">
        <f t="shared" si="5"/>
        <v>0</v>
      </c>
      <c r="W22" s="163">
        <f t="shared" si="5"/>
        <v>0</v>
      </c>
      <c r="X22" s="163">
        <f t="shared" si="5"/>
        <v>0</v>
      </c>
      <c r="Y22" s="163">
        <f t="shared" si="5"/>
        <v>0</v>
      </c>
      <c r="Z22" s="163">
        <f t="shared" si="5"/>
        <v>0</v>
      </c>
      <c r="AA22" s="163">
        <f t="shared" si="5"/>
        <v>0</v>
      </c>
      <c r="AB22" s="163">
        <f t="shared" si="5"/>
        <v>0</v>
      </c>
      <c r="AC22" s="163">
        <f t="shared" si="5"/>
        <v>0</v>
      </c>
      <c r="AD22" s="163">
        <f t="shared" si="5"/>
        <v>0</v>
      </c>
      <c r="AE22" s="163">
        <f t="shared" si="5"/>
        <v>0</v>
      </c>
      <c r="AF22" s="163">
        <f t="shared" si="5"/>
        <v>0</v>
      </c>
      <c r="AG22" s="163">
        <f t="shared" si="5"/>
        <v>0</v>
      </c>
      <c r="AH22" s="163">
        <f t="shared" si="5"/>
        <v>0</v>
      </c>
      <c r="AI22" s="163">
        <f t="shared" si="5"/>
        <v>0</v>
      </c>
      <c r="AJ22" s="163">
        <f t="shared" si="5"/>
        <v>0</v>
      </c>
    </row>
    <row r="23" spans="1:36" ht="36">
      <c r="A23" s="164" t="s">
        <v>189</v>
      </c>
      <c r="B23" s="295"/>
      <c r="C23" s="296"/>
      <c r="D23" s="296"/>
      <c r="E23" s="297"/>
      <c r="F23" s="147">
        <f>+IF(F22&lt;&gt;0,F21/F22,0)</f>
        <v>0.1364751313968677</v>
      </c>
      <c r="G23" s="147">
        <f aca="true" t="shared" si="6" ref="G23:AJ23">+IF(G22&lt;&gt;0,G21/G22,0)</f>
        <v>0.04420987776721102</v>
      </c>
      <c r="H23" s="147">
        <f t="shared" si="6"/>
        <v>0.06104106423633539</v>
      </c>
      <c r="I23" s="147">
        <f t="shared" si="6"/>
        <v>0.0584442018373741</v>
      </c>
      <c r="J23" s="147">
        <f t="shared" si="6"/>
        <v>0.061826530544650295</v>
      </c>
      <c r="K23" s="147">
        <f t="shared" si="6"/>
        <v>0.06493847094636575</v>
      </c>
      <c r="L23" s="147">
        <f t="shared" si="6"/>
        <v>0.07343996511458778</v>
      </c>
      <c r="M23" s="147">
        <f t="shared" si="6"/>
        <v>0.020328359761572518</v>
      </c>
      <c r="N23" s="147">
        <f t="shared" si="6"/>
        <v>0.07284174952604223</v>
      </c>
      <c r="O23" s="147">
        <f t="shared" si="6"/>
        <v>0.04756421924248152</v>
      </c>
      <c r="P23" s="147">
        <f t="shared" si="6"/>
        <v>0</v>
      </c>
      <c r="Q23" s="147">
        <f t="shared" si="6"/>
        <v>0</v>
      </c>
      <c r="R23" s="147">
        <f t="shared" si="6"/>
        <v>0</v>
      </c>
      <c r="S23" s="147">
        <f t="shared" si="6"/>
        <v>0</v>
      </c>
      <c r="T23" s="147">
        <f t="shared" si="6"/>
        <v>0</v>
      </c>
      <c r="U23" s="147">
        <f t="shared" si="6"/>
        <v>0</v>
      </c>
      <c r="V23" s="147">
        <f t="shared" si="6"/>
        <v>0</v>
      </c>
      <c r="W23" s="147">
        <f t="shared" si="6"/>
        <v>0</v>
      </c>
      <c r="X23" s="147">
        <f t="shared" si="6"/>
        <v>0</v>
      </c>
      <c r="Y23" s="147">
        <f t="shared" si="6"/>
        <v>0</v>
      </c>
      <c r="Z23" s="147">
        <f t="shared" si="6"/>
        <v>0</v>
      </c>
      <c r="AA23" s="147">
        <f t="shared" si="6"/>
        <v>0</v>
      </c>
      <c r="AB23" s="147">
        <f t="shared" si="6"/>
        <v>0</v>
      </c>
      <c r="AC23" s="147">
        <f t="shared" si="6"/>
        <v>0</v>
      </c>
      <c r="AD23" s="147">
        <f t="shared" si="6"/>
        <v>0</v>
      </c>
      <c r="AE23" s="147">
        <f t="shared" si="6"/>
        <v>0</v>
      </c>
      <c r="AF23" s="147">
        <f t="shared" si="6"/>
        <v>0</v>
      </c>
      <c r="AG23" s="147">
        <f t="shared" si="6"/>
        <v>0</v>
      </c>
      <c r="AH23" s="147">
        <f t="shared" si="6"/>
        <v>0</v>
      </c>
      <c r="AI23" s="147">
        <f t="shared" si="6"/>
        <v>0</v>
      </c>
      <c r="AJ23" s="147">
        <f t="shared" si="6"/>
        <v>0</v>
      </c>
    </row>
    <row r="24" spans="1:36" ht="31.5" customHeight="1">
      <c r="A24" s="165" t="s">
        <v>181</v>
      </c>
      <c r="B24" s="295"/>
      <c r="C24" s="296"/>
      <c r="D24" s="296"/>
      <c r="E24" s="297"/>
      <c r="F24" s="142" t="str">
        <f>+IF(F23&lt;=F13,"ZGODNE","NIE ZGODNE")</f>
        <v>NIE ZGODNE</v>
      </c>
      <c r="G24" s="142" t="str">
        <f aca="true" t="shared" si="7" ref="G24:AJ24">+IF(G23&lt;=G13,"ZGODNE","NIE ZGODNE")</f>
        <v>ZGODNE</v>
      </c>
      <c r="H24" s="142" t="str">
        <f t="shared" si="7"/>
        <v>ZGODNE</v>
      </c>
      <c r="I24" s="142" t="str">
        <f t="shared" si="7"/>
        <v>ZGODNE</v>
      </c>
      <c r="J24" s="142" t="str">
        <f t="shared" si="7"/>
        <v>ZGODNE</v>
      </c>
      <c r="K24" s="142" t="str">
        <f t="shared" si="7"/>
        <v>ZGODNE</v>
      </c>
      <c r="L24" s="142" t="str">
        <f t="shared" si="7"/>
        <v>ZGODNE</v>
      </c>
      <c r="M24" s="142" t="str">
        <f t="shared" si="7"/>
        <v>ZGODNE</v>
      </c>
      <c r="N24" s="142" t="str">
        <f t="shared" si="7"/>
        <v>ZGODNE</v>
      </c>
      <c r="O24" s="142" t="str">
        <f t="shared" si="7"/>
        <v>ZGODNE</v>
      </c>
      <c r="P24" s="142" t="str">
        <f t="shared" si="7"/>
        <v>ZGODNE</v>
      </c>
      <c r="Q24" s="142" t="str">
        <f t="shared" si="7"/>
        <v>ZGODNE</v>
      </c>
      <c r="R24" s="142" t="str">
        <f t="shared" si="7"/>
        <v>ZGODNE</v>
      </c>
      <c r="S24" s="142" t="str">
        <f t="shared" si="7"/>
        <v>ZGODNE</v>
      </c>
      <c r="T24" s="142" t="str">
        <f t="shared" si="7"/>
        <v>ZGODNE</v>
      </c>
      <c r="U24" s="142" t="str">
        <f t="shared" si="7"/>
        <v>ZGODNE</v>
      </c>
      <c r="V24" s="142" t="str">
        <f t="shared" si="7"/>
        <v>ZGODNE</v>
      </c>
      <c r="W24" s="142" t="str">
        <f t="shared" si="7"/>
        <v>ZGODNE</v>
      </c>
      <c r="X24" s="142" t="str">
        <f t="shared" si="7"/>
        <v>ZGODNE</v>
      </c>
      <c r="Y24" s="142" t="str">
        <f t="shared" si="7"/>
        <v>ZGODNE</v>
      </c>
      <c r="Z24" s="142" t="str">
        <f t="shared" si="7"/>
        <v>ZGODNE</v>
      </c>
      <c r="AA24" s="142" t="str">
        <f t="shared" si="7"/>
        <v>ZGODNE</v>
      </c>
      <c r="AB24" s="142" t="str">
        <f t="shared" si="7"/>
        <v>ZGODNE</v>
      </c>
      <c r="AC24" s="142" t="str">
        <f t="shared" si="7"/>
        <v>ZGODNE</v>
      </c>
      <c r="AD24" s="142" t="str">
        <f t="shared" si="7"/>
        <v>ZGODNE</v>
      </c>
      <c r="AE24" s="142" t="str">
        <f t="shared" si="7"/>
        <v>ZGODNE</v>
      </c>
      <c r="AF24" s="142" t="str">
        <f t="shared" si="7"/>
        <v>ZGODNE</v>
      </c>
      <c r="AG24" s="142" t="str">
        <f t="shared" si="7"/>
        <v>ZGODNE</v>
      </c>
      <c r="AH24" s="142" t="str">
        <f t="shared" si="7"/>
        <v>ZGODNE</v>
      </c>
      <c r="AI24" s="142" t="str">
        <f t="shared" si="7"/>
        <v>ZGODNE</v>
      </c>
      <c r="AJ24" s="142" t="str">
        <f t="shared" si="7"/>
        <v>ZGODNE</v>
      </c>
    </row>
    <row r="25" spans="1:36" ht="24">
      <c r="A25" s="170" t="s">
        <v>190</v>
      </c>
      <c r="B25" s="295"/>
      <c r="C25" s="296"/>
      <c r="D25" s="296"/>
      <c r="E25" s="297"/>
      <c r="F25" s="144">
        <f>+Zal_1_WPF_uklad_budzetu_ryzyko!C41+Zal_1_WPF_uklad_budzetu_ryzyko!C18</f>
        <v>0</v>
      </c>
      <c r="G25" s="144">
        <f>+Zal_1_WPF_uklad_budzetu_ryzyko!D41+Zal_1_WPF_uklad_budzetu_ryzyko!D18</f>
        <v>0</v>
      </c>
      <c r="H25" s="144">
        <f>+Zal_1_WPF_uklad_budzetu_ryzyko!E41+Zal_1_WPF_uklad_budzetu_ryzyko!E18</f>
        <v>0</v>
      </c>
      <c r="I25" s="144">
        <f>+Zal_1_WPF_uklad_budzetu_ryzyko!F41+Zal_1_WPF_uklad_budzetu_ryzyko!F18</f>
        <v>0</v>
      </c>
      <c r="J25" s="144">
        <f>+Zal_1_WPF_uklad_budzetu_ryzyko!G41+Zal_1_WPF_uklad_budzetu_ryzyko!G18</f>
        <v>0</v>
      </c>
      <c r="K25" s="144">
        <f>+Zal_1_WPF_uklad_budzetu_ryzyko!H41+Zal_1_WPF_uklad_budzetu_ryzyko!H18</f>
        <v>0</v>
      </c>
      <c r="L25" s="144">
        <f>+Zal_1_WPF_uklad_budzetu_ryzyko!I41+Zal_1_WPF_uklad_budzetu_ryzyko!I18</f>
        <v>0</v>
      </c>
      <c r="M25" s="144">
        <f>+Zal_1_WPF_uklad_budzetu_ryzyko!J41+Zal_1_WPF_uklad_budzetu_ryzyko!J18</f>
        <v>0</v>
      </c>
      <c r="N25" s="144">
        <f>+Zal_1_WPF_uklad_budzetu_ryzyko!K41+Zal_1_WPF_uklad_budzetu_ryzyko!K18</f>
        <v>0</v>
      </c>
      <c r="O25" s="144">
        <f>+Zal_1_WPF_uklad_budzetu_ryzyko!L41+Zal_1_WPF_uklad_budzetu_ryzyko!L18</f>
        <v>0</v>
      </c>
      <c r="P25" s="144">
        <f>+Zal_1_WPF_uklad_budzetu_ryzyko!M41+Zal_1_WPF_uklad_budzetu_ryzyko!M18</f>
        <v>0</v>
      </c>
      <c r="Q25" s="144">
        <f>+Zal_1_WPF_uklad_budzetu_ryzyko!N41+Zal_1_WPF_uklad_budzetu_ryzyko!N18</f>
        <v>0</v>
      </c>
      <c r="R25" s="144">
        <f>+Zal_1_WPF_uklad_budzetu_ryzyko!O41+Zal_1_WPF_uklad_budzetu_ryzyko!O18</f>
        <v>0</v>
      </c>
      <c r="S25" s="144">
        <f>+Zal_1_WPF_uklad_budzetu_ryzyko!P41+Zal_1_WPF_uklad_budzetu_ryzyko!P18</f>
        <v>0</v>
      </c>
      <c r="T25" s="144">
        <f>+Zal_1_WPF_uklad_budzetu_ryzyko!Q41+Zal_1_WPF_uklad_budzetu_ryzyko!Q18</f>
        <v>0</v>
      </c>
      <c r="U25" s="144">
        <f>+Zal_1_WPF_uklad_budzetu_ryzyko!R41+Zal_1_WPF_uklad_budzetu_ryzyko!R18</f>
        <v>0</v>
      </c>
      <c r="V25" s="144">
        <f>+Zal_1_WPF_uklad_budzetu_ryzyko!S41+Zal_1_WPF_uklad_budzetu_ryzyko!S18</f>
        <v>0</v>
      </c>
      <c r="W25" s="144">
        <f>+Zal_1_WPF_uklad_budzetu_ryzyko!T41+Zal_1_WPF_uklad_budzetu_ryzyko!T18</f>
        <v>0</v>
      </c>
      <c r="X25" s="144">
        <f>+Zal_1_WPF_uklad_budzetu_ryzyko!U41+Zal_1_WPF_uklad_budzetu_ryzyko!U18</f>
        <v>0</v>
      </c>
      <c r="Y25" s="144">
        <f>+Zal_1_WPF_uklad_budzetu_ryzyko!V41+Zal_1_WPF_uklad_budzetu_ryzyko!V18</f>
        <v>0</v>
      </c>
      <c r="Z25" s="144">
        <f>+Zal_1_WPF_uklad_budzetu_ryzyko!W41+Zal_1_WPF_uklad_budzetu_ryzyko!W18</f>
        <v>0</v>
      </c>
      <c r="AA25" s="144">
        <f>+Zal_1_WPF_uklad_budzetu_ryzyko!X41+Zal_1_WPF_uklad_budzetu_ryzyko!X18</f>
        <v>0</v>
      </c>
      <c r="AB25" s="144">
        <f>+Zal_1_WPF_uklad_budzetu_ryzyko!Y41+Zal_1_WPF_uklad_budzetu_ryzyko!Y18</f>
        <v>0</v>
      </c>
      <c r="AC25" s="144">
        <f>+Zal_1_WPF_uklad_budzetu_ryzyko!Z41+Zal_1_WPF_uklad_budzetu_ryzyko!Z18</f>
        <v>0</v>
      </c>
      <c r="AD25" s="144">
        <f>+Zal_1_WPF_uklad_budzetu_ryzyko!AA41+Zal_1_WPF_uklad_budzetu_ryzyko!AA18</f>
        <v>0</v>
      </c>
      <c r="AE25" s="144">
        <f>+Zal_1_WPF_uklad_budzetu_ryzyko!AB41+Zal_1_WPF_uklad_budzetu_ryzyko!AB18</f>
        <v>0</v>
      </c>
      <c r="AF25" s="144">
        <f>+Zal_1_WPF_uklad_budzetu_ryzyko!AC41+Zal_1_WPF_uklad_budzetu_ryzyko!AC18</f>
        <v>0</v>
      </c>
      <c r="AG25" s="144">
        <f>+Zal_1_WPF_uklad_budzetu_ryzyko!AD41+Zal_1_WPF_uklad_budzetu_ryzyko!AD18</f>
        <v>0</v>
      </c>
      <c r="AH25" s="144">
        <f>+Zal_1_WPF_uklad_budzetu_ryzyko!AE41+Zal_1_WPF_uklad_budzetu_ryzyko!AE18</f>
        <v>0</v>
      </c>
      <c r="AI25" s="144">
        <f>+Zal_1_WPF_uklad_budzetu_ryzyko!AF41+Zal_1_WPF_uklad_budzetu_ryzyko!AF18</f>
        <v>0</v>
      </c>
      <c r="AJ25" s="144">
        <f>+Zal_1_WPF_uklad_budzetu_ryzyko!AG41+Zal_1_WPF_uklad_budzetu_ryzyko!AG18</f>
        <v>0</v>
      </c>
    </row>
    <row r="26" spans="1:36" ht="14.25">
      <c r="A26" s="151" t="s">
        <v>182</v>
      </c>
      <c r="B26" s="295"/>
      <c r="C26" s="296"/>
      <c r="D26" s="296"/>
      <c r="E26" s="297"/>
      <c r="F26" s="148">
        <f>+F21-F25</f>
        <v>4390600</v>
      </c>
      <c r="G26" s="148">
        <f aca="true" t="shared" si="8" ref="G26:AJ26">+G21-G25</f>
        <v>1381000</v>
      </c>
      <c r="H26" s="148">
        <f t="shared" si="8"/>
        <v>1926900</v>
      </c>
      <c r="I26" s="148">
        <f t="shared" si="8"/>
        <v>1990000</v>
      </c>
      <c r="J26" s="148">
        <f t="shared" si="8"/>
        <v>2044000</v>
      </c>
      <c r="K26" s="148">
        <f t="shared" si="8"/>
        <v>2200000</v>
      </c>
      <c r="L26" s="148">
        <f t="shared" si="8"/>
        <v>2570000</v>
      </c>
      <c r="M26" s="148">
        <f t="shared" si="8"/>
        <v>716400</v>
      </c>
      <c r="N26" s="148">
        <f t="shared" si="8"/>
        <v>2696576</v>
      </c>
      <c r="O26" s="148">
        <f t="shared" si="8"/>
        <v>1813635</v>
      </c>
      <c r="P26" s="148">
        <f t="shared" si="8"/>
        <v>0</v>
      </c>
      <c r="Q26" s="148">
        <f t="shared" si="8"/>
        <v>0</v>
      </c>
      <c r="R26" s="148">
        <f t="shared" si="8"/>
        <v>0</v>
      </c>
      <c r="S26" s="148">
        <f t="shared" si="8"/>
        <v>0</v>
      </c>
      <c r="T26" s="148">
        <f t="shared" si="8"/>
        <v>0</v>
      </c>
      <c r="U26" s="148">
        <f t="shared" si="8"/>
        <v>0</v>
      </c>
      <c r="V26" s="148">
        <f t="shared" si="8"/>
        <v>0</v>
      </c>
      <c r="W26" s="148">
        <f t="shared" si="8"/>
        <v>0</v>
      </c>
      <c r="X26" s="148">
        <f t="shared" si="8"/>
        <v>0</v>
      </c>
      <c r="Y26" s="148">
        <f t="shared" si="8"/>
        <v>0</v>
      </c>
      <c r="Z26" s="148">
        <f t="shared" si="8"/>
        <v>0</v>
      </c>
      <c r="AA26" s="148">
        <f t="shared" si="8"/>
        <v>0</v>
      </c>
      <c r="AB26" s="148">
        <f t="shared" si="8"/>
        <v>0</v>
      </c>
      <c r="AC26" s="148">
        <f t="shared" si="8"/>
        <v>0</v>
      </c>
      <c r="AD26" s="148">
        <f t="shared" si="8"/>
        <v>0</v>
      </c>
      <c r="AE26" s="148">
        <f t="shared" si="8"/>
        <v>0</v>
      </c>
      <c r="AF26" s="148">
        <f t="shared" si="8"/>
        <v>0</v>
      </c>
      <c r="AG26" s="148">
        <f t="shared" si="8"/>
        <v>0</v>
      </c>
      <c r="AH26" s="148">
        <f t="shared" si="8"/>
        <v>0</v>
      </c>
      <c r="AI26" s="148">
        <f t="shared" si="8"/>
        <v>0</v>
      </c>
      <c r="AJ26" s="148">
        <f t="shared" si="8"/>
        <v>0</v>
      </c>
    </row>
    <row r="27" spans="1:36" ht="24">
      <c r="A27" s="151" t="s">
        <v>191</v>
      </c>
      <c r="B27" s="295"/>
      <c r="C27" s="296"/>
      <c r="D27" s="296"/>
      <c r="E27" s="297"/>
      <c r="F27" s="149">
        <f>+IF(F22&lt;&gt;0,F26/F22,0)</f>
        <v>0.1364751313968677</v>
      </c>
      <c r="G27" s="149">
        <f aca="true" t="shared" si="9" ref="G27:AJ27">+IF(G22&lt;&gt;0,G26/G22,0)</f>
        <v>0.04420987776721102</v>
      </c>
      <c r="H27" s="149">
        <f t="shared" si="9"/>
        <v>0.06104106423633539</v>
      </c>
      <c r="I27" s="149">
        <f t="shared" si="9"/>
        <v>0.0584442018373741</v>
      </c>
      <c r="J27" s="149">
        <f t="shared" si="9"/>
        <v>0.061826530544650295</v>
      </c>
      <c r="K27" s="149">
        <f t="shared" si="9"/>
        <v>0.06493847094636575</v>
      </c>
      <c r="L27" s="149">
        <f t="shared" si="9"/>
        <v>0.07343996511458778</v>
      </c>
      <c r="M27" s="149">
        <f t="shared" si="9"/>
        <v>0.020328359761572518</v>
      </c>
      <c r="N27" s="149">
        <f t="shared" si="9"/>
        <v>0.07284174952604223</v>
      </c>
      <c r="O27" s="149">
        <f t="shared" si="9"/>
        <v>0.04756421924248152</v>
      </c>
      <c r="P27" s="149">
        <f t="shared" si="9"/>
        <v>0</v>
      </c>
      <c r="Q27" s="149">
        <f t="shared" si="9"/>
        <v>0</v>
      </c>
      <c r="R27" s="149">
        <f t="shared" si="9"/>
        <v>0</v>
      </c>
      <c r="S27" s="149">
        <f t="shared" si="9"/>
        <v>0</v>
      </c>
      <c r="T27" s="149">
        <f t="shared" si="9"/>
        <v>0</v>
      </c>
      <c r="U27" s="149">
        <f t="shared" si="9"/>
        <v>0</v>
      </c>
      <c r="V27" s="149">
        <f t="shared" si="9"/>
        <v>0</v>
      </c>
      <c r="W27" s="149">
        <f t="shared" si="9"/>
        <v>0</v>
      </c>
      <c r="X27" s="149">
        <f t="shared" si="9"/>
        <v>0</v>
      </c>
      <c r="Y27" s="149">
        <f t="shared" si="9"/>
        <v>0</v>
      </c>
      <c r="Z27" s="149">
        <f t="shared" si="9"/>
        <v>0</v>
      </c>
      <c r="AA27" s="149">
        <f t="shared" si="9"/>
        <v>0</v>
      </c>
      <c r="AB27" s="149">
        <f t="shared" si="9"/>
        <v>0</v>
      </c>
      <c r="AC27" s="149">
        <f t="shared" si="9"/>
        <v>0</v>
      </c>
      <c r="AD27" s="149">
        <f t="shared" si="9"/>
        <v>0</v>
      </c>
      <c r="AE27" s="149">
        <f t="shared" si="9"/>
        <v>0</v>
      </c>
      <c r="AF27" s="149">
        <f t="shared" si="9"/>
        <v>0</v>
      </c>
      <c r="AG27" s="149">
        <f t="shared" si="9"/>
        <v>0</v>
      </c>
      <c r="AH27" s="149">
        <f t="shared" si="9"/>
        <v>0</v>
      </c>
      <c r="AI27" s="149">
        <f t="shared" si="9"/>
        <v>0</v>
      </c>
      <c r="AJ27" s="149">
        <f t="shared" si="9"/>
        <v>0</v>
      </c>
    </row>
    <row r="28" spans="1:36" ht="32.25" customHeight="1">
      <c r="A28" s="166" t="s">
        <v>183</v>
      </c>
      <c r="B28" s="298"/>
      <c r="C28" s="299"/>
      <c r="D28" s="299"/>
      <c r="E28" s="300"/>
      <c r="F28" s="142" t="str">
        <f aca="true" t="shared" si="10" ref="F28:AJ28">+IF(F27&lt;=F13,"ZGODNE","NIE ZGODNE")</f>
        <v>NIE ZGODNE</v>
      </c>
      <c r="G28" s="142" t="str">
        <f t="shared" si="10"/>
        <v>ZGODNE</v>
      </c>
      <c r="H28" s="142" t="str">
        <f t="shared" si="10"/>
        <v>ZGODNE</v>
      </c>
      <c r="I28" s="142" t="str">
        <f t="shared" si="10"/>
        <v>ZGODNE</v>
      </c>
      <c r="J28" s="142" t="str">
        <f t="shared" si="10"/>
        <v>ZGODNE</v>
      </c>
      <c r="K28" s="142" t="str">
        <f t="shared" si="10"/>
        <v>ZGODNE</v>
      </c>
      <c r="L28" s="142" t="str">
        <f t="shared" si="10"/>
        <v>ZGODNE</v>
      </c>
      <c r="M28" s="142" t="str">
        <f t="shared" si="10"/>
        <v>ZGODNE</v>
      </c>
      <c r="N28" s="142" t="str">
        <f t="shared" si="10"/>
        <v>ZGODNE</v>
      </c>
      <c r="O28" s="142" t="str">
        <f t="shared" si="10"/>
        <v>ZGODNE</v>
      </c>
      <c r="P28" s="142" t="str">
        <f t="shared" si="10"/>
        <v>ZGODNE</v>
      </c>
      <c r="Q28" s="142" t="str">
        <f t="shared" si="10"/>
        <v>ZGODNE</v>
      </c>
      <c r="R28" s="142" t="str">
        <f t="shared" si="10"/>
        <v>ZGODNE</v>
      </c>
      <c r="S28" s="142" t="str">
        <f t="shared" si="10"/>
        <v>ZGODNE</v>
      </c>
      <c r="T28" s="142" t="str">
        <f t="shared" si="10"/>
        <v>ZGODNE</v>
      </c>
      <c r="U28" s="142" t="str">
        <f t="shared" si="10"/>
        <v>ZGODNE</v>
      </c>
      <c r="V28" s="142" t="str">
        <f t="shared" si="10"/>
        <v>ZGODNE</v>
      </c>
      <c r="W28" s="142" t="str">
        <f t="shared" si="10"/>
        <v>ZGODNE</v>
      </c>
      <c r="X28" s="142" t="str">
        <f t="shared" si="10"/>
        <v>ZGODNE</v>
      </c>
      <c r="Y28" s="142" t="str">
        <f t="shared" si="10"/>
        <v>ZGODNE</v>
      </c>
      <c r="Z28" s="142" t="str">
        <f t="shared" si="10"/>
        <v>ZGODNE</v>
      </c>
      <c r="AA28" s="142" t="str">
        <f t="shared" si="10"/>
        <v>ZGODNE</v>
      </c>
      <c r="AB28" s="142" t="str">
        <f t="shared" si="10"/>
        <v>ZGODNE</v>
      </c>
      <c r="AC28" s="142" t="str">
        <f t="shared" si="10"/>
        <v>ZGODNE</v>
      </c>
      <c r="AD28" s="142" t="str">
        <f t="shared" si="10"/>
        <v>ZGODNE</v>
      </c>
      <c r="AE28" s="142" t="str">
        <f t="shared" si="10"/>
        <v>ZGODNE</v>
      </c>
      <c r="AF28" s="142" t="str">
        <f t="shared" si="10"/>
        <v>ZGODNE</v>
      </c>
      <c r="AG28" s="142" t="str">
        <f t="shared" si="10"/>
        <v>ZGODNE</v>
      </c>
      <c r="AH28" s="142" t="str">
        <f t="shared" si="10"/>
        <v>ZGODNE</v>
      </c>
      <c r="AI28" s="142" t="str">
        <f t="shared" si="10"/>
        <v>ZGODNE</v>
      </c>
      <c r="AJ28" s="142" t="str">
        <f t="shared" si="10"/>
        <v>ZGODNE</v>
      </c>
    </row>
    <row r="29" spans="1:36" s="198" customFormat="1" ht="14.25">
      <c r="A29" s="195"/>
      <c r="B29" s="196"/>
      <c r="C29" s="196"/>
      <c r="D29" s="196"/>
      <c r="E29" s="196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</row>
    <row r="30" spans="1:5" ht="14.25">
      <c r="A30" s="303" t="s">
        <v>216</v>
      </c>
      <c r="B30" s="303"/>
      <c r="C30" s="303"/>
      <c r="D30" s="303"/>
      <c r="E30" s="303"/>
    </row>
    <row r="31" spans="1:36" ht="31.5" customHeight="1">
      <c r="A31" s="165" t="s">
        <v>181</v>
      </c>
      <c r="F31" s="142" t="str">
        <f>+IF(F23&lt;=F15,"ZGODNE","NIE ZGODNE")</f>
        <v>NIE ZGODNE</v>
      </c>
      <c r="G31" s="142" t="str">
        <f>+IF(G23&lt;=G15,"ZGODNE","NIE ZGODNE")</f>
        <v>ZGODNE</v>
      </c>
      <c r="H31" s="142" t="str">
        <f>+IF(H23&lt;=H15,"ZGODNE","NIE ZGODNE")</f>
        <v>ZGODNE</v>
      </c>
      <c r="I31" s="142" t="str">
        <f>+IF(I23&lt;=I13,"ZGODNE","NIE ZGODNE")</f>
        <v>ZGODNE</v>
      </c>
      <c r="J31" s="142" t="str">
        <f aca="true" t="shared" si="11" ref="J31:AJ31">+IF(J23&lt;=J13,"ZGODNE","NIE ZGODNE")</f>
        <v>ZGODNE</v>
      </c>
      <c r="K31" s="142" t="str">
        <f t="shared" si="11"/>
        <v>ZGODNE</v>
      </c>
      <c r="L31" s="142" t="str">
        <f t="shared" si="11"/>
        <v>ZGODNE</v>
      </c>
      <c r="M31" s="142" t="str">
        <f t="shared" si="11"/>
        <v>ZGODNE</v>
      </c>
      <c r="N31" s="142" t="str">
        <f t="shared" si="11"/>
        <v>ZGODNE</v>
      </c>
      <c r="O31" s="142" t="str">
        <f t="shared" si="11"/>
        <v>ZGODNE</v>
      </c>
      <c r="P31" s="142" t="str">
        <f t="shared" si="11"/>
        <v>ZGODNE</v>
      </c>
      <c r="Q31" s="142" t="str">
        <f t="shared" si="11"/>
        <v>ZGODNE</v>
      </c>
      <c r="R31" s="142" t="str">
        <f t="shared" si="11"/>
        <v>ZGODNE</v>
      </c>
      <c r="S31" s="142" t="str">
        <f t="shared" si="11"/>
        <v>ZGODNE</v>
      </c>
      <c r="T31" s="142" t="str">
        <f t="shared" si="11"/>
        <v>ZGODNE</v>
      </c>
      <c r="U31" s="142" t="str">
        <f t="shared" si="11"/>
        <v>ZGODNE</v>
      </c>
      <c r="V31" s="142" t="str">
        <f t="shared" si="11"/>
        <v>ZGODNE</v>
      </c>
      <c r="W31" s="142" t="str">
        <f t="shared" si="11"/>
        <v>ZGODNE</v>
      </c>
      <c r="X31" s="142" t="str">
        <f t="shared" si="11"/>
        <v>ZGODNE</v>
      </c>
      <c r="Y31" s="142" t="str">
        <f t="shared" si="11"/>
        <v>ZGODNE</v>
      </c>
      <c r="Z31" s="142" t="str">
        <f t="shared" si="11"/>
        <v>ZGODNE</v>
      </c>
      <c r="AA31" s="142" t="str">
        <f t="shared" si="11"/>
        <v>ZGODNE</v>
      </c>
      <c r="AB31" s="142" t="str">
        <f t="shared" si="11"/>
        <v>ZGODNE</v>
      </c>
      <c r="AC31" s="142" t="str">
        <f t="shared" si="11"/>
        <v>ZGODNE</v>
      </c>
      <c r="AD31" s="142" t="str">
        <f t="shared" si="11"/>
        <v>ZGODNE</v>
      </c>
      <c r="AE31" s="142" t="str">
        <f t="shared" si="11"/>
        <v>ZGODNE</v>
      </c>
      <c r="AF31" s="142" t="str">
        <f t="shared" si="11"/>
        <v>ZGODNE</v>
      </c>
      <c r="AG31" s="142" t="str">
        <f t="shared" si="11"/>
        <v>ZGODNE</v>
      </c>
      <c r="AH31" s="142" t="str">
        <f t="shared" si="11"/>
        <v>ZGODNE</v>
      </c>
      <c r="AI31" s="142" t="str">
        <f t="shared" si="11"/>
        <v>ZGODNE</v>
      </c>
      <c r="AJ31" s="142" t="str">
        <f t="shared" si="11"/>
        <v>ZGODNE</v>
      </c>
    </row>
    <row r="32" spans="1:36" ht="32.25" customHeight="1">
      <c r="A32" s="166" t="s">
        <v>183</v>
      </c>
      <c r="F32" s="142" t="str">
        <f>+IF(F27&lt;=F15,"ZGODNE","NIE ZGODNE")</f>
        <v>NIE ZGODNE</v>
      </c>
      <c r="G32" s="142" t="str">
        <f>+IF(G27&lt;=G15,"ZGODNE","NIE ZGODNE")</f>
        <v>ZGODNE</v>
      </c>
      <c r="H32" s="142" t="str">
        <f>+IF(H27&lt;=H15,"ZGODNE","NIE ZGODNE")</f>
        <v>ZGODNE</v>
      </c>
      <c r="I32" s="142" t="str">
        <f>+IF(I27&lt;=I13,"ZGODNE","NIE ZGODNE")</f>
        <v>ZGODNE</v>
      </c>
      <c r="J32" s="142" t="str">
        <f aca="true" t="shared" si="12" ref="J32:AJ32">+IF(J27&lt;=J13,"ZGODNE","NIE ZGODNE")</f>
        <v>ZGODNE</v>
      </c>
      <c r="K32" s="142" t="str">
        <f t="shared" si="12"/>
        <v>ZGODNE</v>
      </c>
      <c r="L32" s="142" t="str">
        <f t="shared" si="12"/>
        <v>ZGODNE</v>
      </c>
      <c r="M32" s="142" t="str">
        <f t="shared" si="12"/>
        <v>ZGODNE</v>
      </c>
      <c r="N32" s="142" t="str">
        <f t="shared" si="12"/>
        <v>ZGODNE</v>
      </c>
      <c r="O32" s="142" t="str">
        <f t="shared" si="12"/>
        <v>ZGODNE</v>
      </c>
      <c r="P32" s="142" t="str">
        <f t="shared" si="12"/>
        <v>ZGODNE</v>
      </c>
      <c r="Q32" s="142" t="str">
        <f t="shared" si="12"/>
        <v>ZGODNE</v>
      </c>
      <c r="R32" s="142" t="str">
        <f t="shared" si="12"/>
        <v>ZGODNE</v>
      </c>
      <c r="S32" s="142" t="str">
        <f t="shared" si="12"/>
        <v>ZGODNE</v>
      </c>
      <c r="T32" s="142" t="str">
        <f t="shared" si="12"/>
        <v>ZGODNE</v>
      </c>
      <c r="U32" s="142" t="str">
        <f t="shared" si="12"/>
        <v>ZGODNE</v>
      </c>
      <c r="V32" s="142" t="str">
        <f t="shared" si="12"/>
        <v>ZGODNE</v>
      </c>
      <c r="W32" s="142" t="str">
        <f t="shared" si="12"/>
        <v>ZGODNE</v>
      </c>
      <c r="X32" s="142" t="str">
        <f t="shared" si="12"/>
        <v>ZGODNE</v>
      </c>
      <c r="Y32" s="142" t="str">
        <f t="shared" si="12"/>
        <v>ZGODNE</v>
      </c>
      <c r="Z32" s="142" t="str">
        <f t="shared" si="12"/>
        <v>ZGODNE</v>
      </c>
      <c r="AA32" s="142" t="str">
        <f t="shared" si="12"/>
        <v>ZGODNE</v>
      </c>
      <c r="AB32" s="142" t="str">
        <f t="shared" si="12"/>
        <v>ZGODNE</v>
      </c>
      <c r="AC32" s="142" t="str">
        <f t="shared" si="12"/>
        <v>ZGODNE</v>
      </c>
      <c r="AD32" s="142" t="str">
        <f t="shared" si="12"/>
        <v>ZGODNE</v>
      </c>
      <c r="AE32" s="142" t="str">
        <f t="shared" si="12"/>
        <v>ZGODNE</v>
      </c>
      <c r="AF32" s="142" t="str">
        <f t="shared" si="12"/>
        <v>ZGODNE</v>
      </c>
      <c r="AG32" s="142" t="str">
        <f t="shared" si="12"/>
        <v>ZGODNE</v>
      </c>
      <c r="AH32" s="142" t="str">
        <f t="shared" si="12"/>
        <v>ZGODNE</v>
      </c>
      <c r="AI32" s="142" t="str">
        <f t="shared" si="12"/>
        <v>ZGODNE</v>
      </c>
      <c r="AJ32" s="142" t="str">
        <f t="shared" si="12"/>
        <v>ZGODNE</v>
      </c>
    </row>
    <row r="34" ht="14.25">
      <c r="A34" s="179" t="s">
        <v>200</v>
      </c>
    </row>
    <row r="35" spans="1:36" ht="14.25">
      <c r="A35" s="165" t="s">
        <v>198</v>
      </c>
      <c r="F35" s="178">
        <f>+F$13-F23</f>
        <v>-0.06601510222158793</v>
      </c>
      <c r="G35" s="178">
        <f aca="true" t="shared" si="13" ref="G35:AJ35">+G$13-G23</f>
        <v>0.02766073945301014</v>
      </c>
      <c r="H35" s="178">
        <f t="shared" si="13"/>
        <v>0.024893941561956123</v>
      </c>
      <c r="I35" s="178">
        <f t="shared" si="13"/>
        <v>0.03069299492529462</v>
      </c>
      <c r="J35" s="178">
        <f t="shared" si="13"/>
        <v>0.016162022156540508</v>
      </c>
      <c r="K35" s="178">
        <f t="shared" si="13"/>
        <v>0.003945391402187026</v>
      </c>
      <c r="L35" s="178">
        <f t="shared" si="13"/>
        <v>0.00023792033648784017</v>
      </c>
      <c r="M35" s="178">
        <f t="shared" si="13"/>
        <v>0.05918945015388098</v>
      </c>
      <c r="N35" s="178">
        <f t="shared" si="13"/>
        <v>0.004613794103070168</v>
      </c>
      <c r="O35" s="178">
        <f t="shared" si="13"/>
        <v>0.03493408738620162</v>
      </c>
      <c r="P35" s="178">
        <f t="shared" si="13"/>
        <v>0.08437213236291678</v>
      </c>
      <c r="Q35" s="178">
        <f t="shared" si="13"/>
        <v>0.06441399051006737</v>
      </c>
      <c r="R35" s="178">
        <f t="shared" si="13"/>
        <v>0.03323372909447877</v>
      </c>
      <c r="S35" s="178">
        <f t="shared" si="13"/>
        <v>0</v>
      </c>
      <c r="T35" s="178">
        <f t="shared" si="13"/>
        <v>0</v>
      </c>
      <c r="U35" s="178">
        <f t="shared" si="13"/>
        <v>0</v>
      </c>
      <c r="V35" s="178">
        <f t="shared" si="13"/>
        <v>0</v>
      </c>
      <c r="W35" s="178">
        <f t="shared" si="13"/>
        <v>0</v>
      </c>
      <c r="X35" s="178">
        <f t="shared" si="13"/>
        <v>0</v>
      </c>
      <c r="Y35" s="178">
        <f t="shared" si="13"/>
        <v>0</v>
      </c>
      <c r="Z35" s="178">
        <f t="shared" si="13"/>
        <v>0</v>
      </c>
      <c r="AA35" s="178">
        <f t="shared" si="13"/>
        <v>0</v>
      </c>
      <c r="AB35" s="178">
        <f t="shared" si="13"/>
        <v>0</v>
      </c>
      <c r="AC35" s="178">
        <f t="shared" si="13"/>
        <v>0</v>
      </c>
      <c r="AD35" s="178">
        <f t="shared" si="13"/>
        <v>0</v>
      </c>
      <c r="AE35" s="178">
        <f t="shared" si="13"/>
        <v>0</v>
      </c>
      <c r="AF35" s="178">
        <f t="shared" si="13"/>
        <v>0</v>
      </c>
      <c r="AG35" s="178">
        <f t="shared" si="13"/>
        <v>0</v>
      </c>
      <c r="AH35" s="178">
        <f t="shared" si="13"/>
        <v>0</v>
      </c>
      <c r="AI35" s="178">
        <f t="shared" si="13"/>
        <v>0</v>
      </c>
      <c r="AJ35" s="178">
        <f t="shared" si="13"/>
        <v>0</v>
      </c>
    </row>
    <row r="36" spans="1:36" ht="14.25">
      <c r="A36" s="166" t="s">
        <v>199</v>
      </c>
      <c r="F36" s="178">
        <f>+F$13-F27</f>
        <v>-0.06601510222158793</v>
      </c>
      <c r="G36" s="178">
        <f aca="true" t="shared" si="14" ref="G36:AJ36">+G$13-G27</f>
        <v>0.02766073945301014</v>
      </c>
      <c r="H36" s="178">
        <f t="shared" si="14"/>
        <v>0.024893941561956123</v>
      </c>
      <c r="I36" s="178">
        <f t="shared" si="14"/>
        <v>0.03069299492529462</v>
      </c>
      <c r="J36" s="178">
        <f t="shared" si="14"/>
        <v>0.016162022156540508</v>
      </c>
      <c r="K36" s="178">
        <f t="shared" si="14"/>
        <v>0.003945391402187026</v>
      </c>
      <c r="L36" s="178">
        <f t="shared" si="14"/>
        <v>0.00023792033648784017</v>
      </c>
      <c r="M36" s="178">
        <f t="shared" si="14"/>
        <v>0.05918945015388098</v>
      </c>
      <c r="N36" s="178">
        <f t="shared" si="14"/>
        <v>0.004613794103070168</v>
      </c>
      <c r="O36" s="178">
        <f t="shared" si="14"/>
        <v>0.03493408738620162</v>
      </c>
      <c r="P36" s="178">
        <f t="shared" si="14"/>
        <v>0.08437213236291678</v>
      </c>
      <c r="Q36" s="178">
        <f t="shared" si="14"/>
        <v>0.06441399051006737</v>
      </c>
      <c r="R36" s="178">
        <f t="shared" si="14"/>
        <v>0.03323372909447877</v>
      </c>
      <c r="S36" s="178">
        <f t="shared" si="14"/>
        <v>0</v>
      </c>
      <c r="T36" s="178">
        <f t="shared" si="14"/>
        <v>0</v>
      </c>
      <c r="U36" s="178">
        <f t="shared" si="14"/>
        <v>0</v>
      </c>
      <c r="V36" s="178">
        <f t="shared" si="14"/>
        <v>0</v>
      </c>
      <c r="W36" s="178">
        <f t="shared" si="14"/>
        <v>0</v>
      </c>
      <c r="X36" s="178">
        <f t="shared" si="14"/>
        <v>0</v>
      </c>
      <c r="Y36" s="178">
        <f t="shared" si="14"/>
        <v>0</v>
      </c>
      <c r="Z36" s="178">
        <f t="shared" si="14"/>
        <v>0</v>
      </c>
      <c r="AA36" s="178">
        <f t="shared" si="14"/>
        <v>0</v>
      </c>
      <c r="AB36" s="178">
        <f t="shared" si="14"/>
        <v>0</v>
      </c>
      <c r="AC36" s="178">
        <f t="shared" si="14"/>
        <v>0</v>
      </c>
      <c r="AD36" s="178">
        <f t="shared" si="14"/>
        <v>0</v>
      </c>
      <c r="AE36" s="178">
        <f t="shared" si="14"/>
        <v>0</v>
      </c>
      <c r="AF36" s="178">
        <f t="shared" si="14"/>
        <v>0</v>
      </c>
      <c r="AG36" s="178">
        <f t="shared" si="14"/>
        <v>0</v>
      </c>
      <c r="AH36" s="178">
        <f t="shared" si="14"/>
        <v>0</v>
      </c>
      <c r="AI36" s="178">
        <f t="shared" si="14"/>
        <v>0</v>
      </c>
      <c r="AJ36" s="178">
        <f t="shared" si="14"/>
        <v>0</v>
      </c>
    </row>
  </sheetData>
  <sheetProtection/>
  <mergeCells count="4">
    <mergeCell ref="B13:D13"/>
    <mergeCell ref="B18:E28"/>
    <mergeCell ref="B17:E17"/>
    <mergeCell ref="A30:E30"/>
  </mergeCells>
  <printOptions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zoomScalePageLayoutView="0" workbookViewId="0" topLeftCell="A7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5">
      <c r="A1" s="16" t="s">
        <v>210</v>
      </c>
      <c r="I1" s="16" t="str">
        <f>+Zal_1_WPF_uklad_budzetu_ryzyko!D1</f>
        <v>(1425062) - JEDLNIA-LETNISKO - WPF za lata 2013-2022 - Nr Uchwały JST: XXVII/148/2012</v>
      </c>
    </row>
    <row r="99" spans="2:9" ht="15">
      <c r="B99" s="16" t="s">
        <v>237</v>
      </c>
      <c r="I99" s="16" t="s">
        <v>237</v>
      </c>
    </row>
    <row r="116" spans="2:9" ht="15">
      <c r="B116" s="16" t="s">
        <v>238</v>
      </c>
      <c r="I116" s="16" t="s">
        <v>238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IU219"/>
  <sheetViews>
    <sheetView showZeros="0" zoomScaleSheetLayoutView="100" zoomScalePageLayoutView="0" workbookViewId="0" topLeftCell="A1">
      <pane xSplit="2" ySplit="5" topLeftCell="C18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C3" sqref="C3"/>
    </sheetView>
  </sheetViews>
  <sheetFormatPr defaultColWidth="8.796875" defaultRowHeight="14.25" outlineLevelRow="3"/>
  <cols>
    <col min="1" max="1" width="3.69921875" style="1" customWidth="1"/>
    <col min="2" max="2" width="47" style="1" customWidth="1"/>
    <col min="3" max="33" width="12.69921875" style="1" customWidth="1"/>
  </cols>
  <sheetData>
    <row r="1" spans="2:255" s="2" customFormat="1" ht="14.25">
      <c r="B1" s="14" t="s">
        <v>41</v>
      </c>
      <c r="C1" s="5" t="str">
        <f>+Zal_1_WPF_wg_przeplywow!D1</f>
        <v>XXVII/148/2012</v>
      </c>
      <c r="D1" s="11" t="str">
        <f>C2&amp;" - "&amp;"WPF za lata "&amp;C3&amp;" - Nr Uchwały JST: "&amp;C1</f>
        <v>(1425062) - JEDLNIA-LETNISKO - WPF za lata 2013-2022 - Nr Uchwały JST: XXVII/148/2012</v>
      </c>
      <c r="F1" s="1"/>
      <c r="G1" s="25" t="s">
        <v>57</v>
      </c>
      <c r="H1" s="25"/>
      <c r="I1" s="2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2:255" s="2" customFormat="1" ht="14.25">
      <c r="B2" s="8" t="s">
        <v>39</v>
      </c>
      <c r="C2" s="9" t="str">
        <f>+Zal_1_WPF_wg_przeplywow!D2</f>
        <v>(1425062) - JEDLNIA-LETNISKO</v>
      </c>
      <c r="F2" s="5"/>
      <c r="G2" s="25" t="s">
        <v>55</v>
      </c>
      <c r="H2" s="25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s="2" customFormat="1" ht="14.25">
      <c r="B3" s="7" t="s">
        <v>40</v>
      </c>
      <c r="C3" s="10" t="str">
        <f>+Zal_1_WPF_wg_przeplywow!D3</f>
        <v>2013-2022</v>
      </c>
      <c r="D3" s="22" t="s">
        <v>161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2" customFormat="1" ht="15">
      <c r="A4" s="1"/>
      <c r="B4" s="133">
        <f>""</f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17" customFormat="1" ht="14.25">
      <c r="A5" s="37" t="s">
        <v>0</v>
      </c>
      <c r="B5" s="38" t="s">
        <v>1</v>
      </c>
      <c r="C5" s="39">
        <v>2013</v>
      </c>
      <c r="D5" s="39">
        <v>2014</v>
      </c>
      <c r="E5" s="39">
        <v>2015</v>
      </c>
      <c r="F5" s="39">
        <v>2016</v>
      </c>
      <c r="G5" s="39">
        <v>2017</v>
      </c>
      <c r="H5" s="39">
        <v>2018</v>
      </c>
      <c r="I5" s="39">
        <v>2019</v>
      </c>
      <c r="J5" s="39">
        <v>2020</v>
      </c>
      <c r="K5" s="39">
        <v>2021</v>
      </c>
      <c r="L5" s="39">
        <v>2022</v>
      </c>
      <c r="M5" s="39">
        <v>2023</v>
      </c>
      <c r="N5" s="39">
        <v>2024</v>
      </c>
      <c r="O5" s="39">
        <v>2025</v>
      </c>
      <c r="P5" s="39">
        <v>2026</v>
      </c>
      <c r="Q5" s="39">
        <v>2027</v>
      </c>
      <c r="R5" s="39">
        <v>2028</v>
      </c>
      <c r="S5" s="39">
        <v>2029</v>
      </c>
      <c r="T5" s="39">
        <v>2030</v>
      </c>
      <c r="U5" s="39">
        <v>2031</v>
      </c>
      <c r="V5" s="39">
        <v>2032</v>
      </c>
      <c r="W5" s="39">
        <v>2033</v>
      </c>
      <c r="X5" s="39">
        <v>2034</v>
      </c>
      <c r="Y5" s="39">
        <v>2035</v>
      </c>
      <c r="Z5" s="39">
        <v>2036</v>
      </c>
      <c r="AA5" s="39">
        <v>2037</v>
      </c>
      <c r="AB5" s="39">
        <v>2038</v>
      </c>
      <c r="AC5" s="39">
        <v>2039</v>
      </c>
      <c r="AD5" s="39">
        <v>2040</v>
      </c>
      <c r="AE5" s="39">
        <v>2041</v>
      </c>
      <c r="AF5" s="39">
        <v>2042</v>
      </c>
      <c r="AG5" s="39">
        <v>2043</v>
      </c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33" ht="14.25">
      <c r="A6" s="44" t="s">
        <v>44</v>
      </c>
      <c r="B6" s="45" t="s">
        <v>58</v>
      </c>
      <c r="C6" s="46">
        <f>+Zal_1_WPF_wg_przeplywow!C7</f>
        <v>32171429</v>
      </c>
      <c r="D6" s="46">
        <f>+Zal_1_WPF_wg_przeplywow!D7</f>
        <v>31237363</v>
      </c>
      <c r="E6" s="46">
        <f>+Zal_1_WPF_wg_przeplywow!E7</f>
        <v>31567274</v>
      </c>
      <c r="F6" s="46">
        <f>+Zal_1_WPF_wg_przeplywow!F7</f>
        <v>34049571</v>
      </c>
      <c r="G6" s="46">
        <f>+Zal_1_WPF_wg_przeplywow!G7</f>
        <v>33060241</v>
      </c>
      <c r="H6" s="46">
        <f>+Zal_1_WPF_wg_przeplywow!H7</f>
        <v>33878223</v>
      </c>
      <c r="I6" s="46">
        <f>+Zal_1_WPF_wg_przeplywow!I7</f>
        <v>34994570</v>
      </c>
      <c r="J6" s="46">
        <f>+Zal_1_WPF_wg_przeplywow!J7</f>
        <v>35241407</v>
      </c>
      <c r="K6" s="46">
        <f>+Zal_1_WPF_wg_przeplywow!K7</f>
        <v>37019649</v>
      </c>
      <c r="L6" s="46">
        <f>+Zal_1_WPF_wg_przeplywow!L7</f>
        <v>38130238</v>
      </c>
      <c r="M6" s="46">
        <f>+Zal_1_WPF_wg_przeplywow!M7</f>
        <v>0</v>
      </c>
      <c r="N6" s="46">
        <f>+Zal_1_WPF_wg_przeplywow!N7</f>
        <v>0</v>
      </c>
      <c r="O6" s="46">
        <f>+Zal_1_WPF_wg_przeplywow!O7</f>
        <v>0</v>
      </c>
      <c r="P6" s="46">
        <f>+Zal_1_WPF_wg_przeplywow!P7</f>
        <v>0</v>
      </c>
      <c r="Q6" s="46">
        <f>+Zal_1_WPF_wg_przeplywow!Q7</f>
        <v>0</v>
      </c>
      <c r="R6" s="46">
        <f>+Zal_1_WPF_wg_przeplywow!R7</f>
        <v>0</v>
      </c>
      <c r="S6" s="46">
        <f>+Zal_1_WPF_wg_przeplywow!S7</f>
        <v>0</v>
      </c>
      <c r="T6" s="46">
        <f>+Zal_1_WPF_wg_przeplywow!T7</f>
        <v>0</v>
      </c>
      <c r="U6" s="46">
        <f>+Zal_1_WPF_wg_przeplywow!U7</f>
        <v>0</v>
      </c>
      <c r="V6" s="46">
        <f>+Zal_1_WPF_wg_przeplywow!V7</f>
        <v>0</v>
      </c>
      <c r="W6" s="46">
        <f>+Zal_1_WPF_wg_przeplywow!W7</f>
        <v>0</v>
      </c>
      <c r="X6" s="46">
        <f>+Zal_1_WPF_wg_przeplywow!X7</f>
        <v>0</v>
      </c>
      <c r="Y6" s="46">
        <f>+Zal_1_WPF_wg_przeplywow!Y7</f>
        <v>0</v>
      </c>
      <c r="Z6" s="46">
        <f>+Zal_1_WPF_wg_przeplywow!Z7</f>
        <v>0</v>
      </c>
      <c r="AA6" s="46">
        <f>+Zal_1_WPF_wg_przeplywow!AA7</f>
        <v>0</v>
      </c>
      <c r="AB6" s="46">
        <f>+Zal_1_WPF_wg_przeplywow!AB7</f>
        <v>0</v>
      </c>
      <c r="AC6" s="46">
        <f>+Zal_1_WPF_wg_przeplywow!AC7</f>
        <v>0</v>
      </c>
      <c r="AD6" s="46">
        <f>+Zal_1_WPF_wg_przeplywow!AD7</f>
        <v>0</v>
      </c>
      <c r="AE6" s="46">
        <f>+Zal_1_WPF_wg_przeplywow!AE7</f>
        <v>0</v>
      </c>
      <c r="AF6" s="46">
        <f>+Zal_1_WPF_wg_przeplywow!AF7</f>
        <v>0</v>
      </c>
      <c r="AG6" s="46">
        <f>+Zal_1_WPF_wg_przeplywow!AG7</f>
        <v>0</v>
      </c>
    </row>
    <row r="7" spans="1:33" ht="14.25" outlineLevel="1">
      <c r="A7" s="47"/>
      <c r="B7" s="48" t="s">
        <v>59</v>
      </c>
      <c r="C7" s="49">
        <f>+Zal_1_WPF_wg_przeplywow!C8</f>
        <v>30469412</v>
      </c>
      <c r="D7" s="49">
        <f>+Zal_1_WPF_wg_przeplywow!D8</f>
        <v>30568535</v>
      </c>
      <c r="E7" s="49">
        <f>+Zal_1_WPF_wg_przeplywow!E8</f>
        <v>31057274</v>
      </c>
      <c r="F7" s="49">
        <f>+Zal_1_WPF_wg_przeplywow!F8</f>
        <v>32115177</v>
      </c>
      <c r="G7" s="49">
        <f>+Zal_1_WPF_wg_przeplywow!G8</f>
        <v>32550241</v>
      </c>
      <c r="H7" s="49">
        <f>+Zal_1_WPF_wg_przeplywow!H8</f>
        <v>33878223</v>
      </c>
      <c r="I7" s="49">
        <f>+Zal_1_WPF_wg_przeplywow!I8</f>
        <v>34994570</v>
      </c>
      <c r="J7" s="49">
        <f>+Zal_1_WPF_wg_przeplywow!J8</f>
        <v>35241407</v>
      </c>
      <c r="K7" s="49">
        <f>+Zal_1_WPF_wg_przeplywow!K8</f>
        <v>37019649</v>
      </c>
      <c r="L7" s="49">
        <f>+Zal_1_WPF_wg_przeplywow!L8</f>
        <v>38130238</v>
      </c>
      <c r="M7" s="49">
        <f>+Zal_1_WPF_wg_przeplywow!M8</f>
        <v>0</v>
      </c>
      <c r="N7" s="49">
        <f>+Zal_1_WPF_wg_przeplywow!N8</f>
        <v>0</v>
      </c>
      <c r="O7" s="49">
        <f>+Zal_1_WPF_wg_przeplywow!O8</f>
        <v>0</v>
      </c>
      <c r="P7" s="49">
        <f>+Zal_1_WPF_wg_przeplywow!P8</f>
        <v>0</v>
      </c>
      <c r="Q7" s="49">
        <f>+Zal_1_WPF_wg_przeplywow!Q8</f>
        <v>0</v>
      </c>
      <c r="R7" s="49">
        <f>+Zal_1_WPF_wg_przeplywow!R8</f>
        <v>0</v>
      </c>
      <c r="S7" s="49">
        <f>+Zal_1_WPF_wg_przeplywow!S8</f>
        <v>0</v>
      </c>
      <c r="T7" s="49">
        <f>+Zal_1_WPF_wg_przeplywow!T8</f>
        <v>0</v>
      </c>
      <c r="U7" s="49">
        <f>+Zal_1_WPF_wg_przeplywow!U8</f>
        <v>0</v>
      </c>
      <c r="V7" s="49">
        <f>+Zal_1_WPF_wg_przeplywow!V8</f>
        <v>0</v>
      </c>
      <c r="W7" s="49">
        <f>+Zal_1_WPF_wg_przeplywow!W8</f>
        <v>0</v>
      </c>
      <c r="X7" s="49">
        <f>+Zal_1_WPF_wg_przeplywow!X8</f>
        <v>0</v>
      </c>
      <c r="Y7" s="49">
        <f>+Zal_1_WPF_wg_przeplywow!Y8</f>
        <v>0</v>
      </c>
      <c r="Z7" s="49">
        <f>+Zal_1_WPF_wg_przeplywow!Z8</f>
        <v>0</v>
      </c>
      <c r="AA7" s="49">
        <f>+Zal_1_WPF_wg_przeplywow!AA8</f>
        <v>0</v>
      </c>
      <c r="AB7" s="49">
        <f>+Zal_1_WPF_wg_przeplywow!AB8</f>
        <v>0</v>
      </c>
      <c r="AC7" s="49">
        <f>+Zal_1_WPF_wg_przeplywow!AC8</f>
        <v>0</v>
      </c>
      <c r="AD7" s="49">
        <f>+Zal_1_WPF_wg_przeplywow!AD8</f>
        <v>0</v>
      </c>
      <c r="AE7" s="49">
        <f>+Zal_1_WPF_wg_przeplywow!AE8</f>
        <v>0</v>
      </c>
      <c r="AF7" s="49">
        <f>+Zal_1_WPF_wg_przeplywow!AF8</f>
        <v>0</v>
      </c>
      <c r="AG7" s="49">
        <f>+Zal_1_WPF_wg_przeplywow!AG8</f>
        <v>0</v>
      </c>
    </row>
    <row r="8" spans="1:33" ht="24" outlineLevel="1">
      <c r="A8" s="47"/>
      <c r="B8" s="87" t="s">
        <v>359</v>
      </c>
      <c r="C8" s="49">
        <f>+Zal_1_WPF_wg_przeplywow!C9</f>
        <v>170050</v>
      </c>
      <c r="D8" s="49">
        <f>+Zal_1_WPF_wg_przeplywow!D9</f>
        <v>179000</v>
      </c>
      <c r="E8" s="49">
        <f>+Zal_1_WPF_wg_przeplywow!E9</f>
        <v>0</v>
      </c>
      <c r="F8" s="49">
        <f>+Zal_1_WPF_wg_przeplywow!F9</f>
        <v>0</v>
      </c>
      <c r="G8" s="49">
        <f>+Zal_1_WPF_wg_przeplywow!G9</f>
        <v>0</v>
      </c>
      <c r="H8" s="49">
        <f>+Zal_1_WPF_wg_przeplywow!H9</f>
        <v>0</v>
      </c>
      <c r="I8" s="49">
        <f>+Zal_1_WPF_wg_przeplywow!I9</f>
        <v>0</v>
      </c>
      <c r="J8" s="49">
        <f>+Zal_1_WPF_wg_przeplywow!J9</f>
        <v>0</v>
      </c>
      <c r="K8" s="49">
        <f>+Zal_1_WPF_wg_przeplywow!K9</f>
        <v>0</v>
      </c>
      <c r="L8" s="49">
        <f>+Zal_1_WPF_wg_przeplywow!L9</f>
        <v>0</v>
      </c>
      <c r="M8" s="49">
        <f>+Zal_1_WPF_wg_przeplywow!M9</f>
        <v>0</v>
      </c>
      <c r="N8" s="49">
        <f>+Zal_1_WPF_wg_przeplywow!N9</f>
        <v>0</v>
      </c>
      <c r="O8" s="49">
        <f>+Zal_1_WPF_wg_przeplywow!O9</f>
        <v>0</v>
      </c>
      <c r="P8" s="49">
        <f>+Zal_1_WPF_wg_przeplywow!P9</f>
        <v>0</v>
      </c>
      <c r="Q8" s="49">
        <f>+Zal_1_WPF_wg_przeplywow!Q9</f>
        <v>0</v>
      </c>
      <c r="R8" s="49">
        <f>+Zal_1_WPF_wg_przeplywow!R9</f>
        <v>0</v>
      </c>
      <c r="S8" s="49">
        <f>+Zal_1_WPF_wg_przeplywow!S9</f>
        <v>0</v>
      </c>
      <c r="T8" s="49">
        <f>+Zal_1_WPF_wg_przeplywow!T9</f>
        <v>0</v>
      </c>
      <c r="U8" s="49">
        <f>+Zal_1_WPF_wg_przeplywow!U9</f>
        <v>0</v>
      </c>
      <c r="V8" s="49">
        <f>+Zal_1_WPF_wg_przeplywow!V9</f>
        <v>0</v>
      </c>
      <c r="W8" s="49">
        <f>+Zal_1_WPF_wg_przeplywow!W9</f>
        <v>0</v>
      </c>
      <c r="X8" s="49">
        <f>+Zal_1_WPF_wg_przeplywow!X9</f>
        <v>0</v>
      </c>
      <c r="Y8" s="49">
        <f>+Zal_1_WPF_wg_przeplywow!Y9</f>
        <v>0</v>
      </c>
      <c r="Z8" s="49">
        <f>+Zal_1_WPF_wg_przeplywow!Z9</f>
        <v>0</v>
      </c>
      <c r="AA8" s="49">
        <f>+Zal_1_WPF_wg_przeplywow!AA9</f>
        <v>0</v>
      </c>
      <c r="AB8" s="49">
        <f>+Zal_1_WPF_wg_przeplywow!AB9</f>
        <v>0</v>
      </c>
      <c r="AC8" s="49">
        <f>+Zal_1_WPF_wg_przeplywow!AC9</f>
        <v>0</v>
      </c>
      <c r="AD8" s="49">
        <f>+Zal_1_WPF_wg_przeplywow!AD9</f>
        <v>0</v>
      </c>
      <c r="AE8" s="49">
        <f>+Zal_1_WPF_wg_przeplywow!AE9</f>
        <v>0</v>
      </c>
      <c r="AF8" s="49">
        <f>+Zal_1_WPF_wg_przeplywow!AF9</f>
        <v>0</v>
      </c>
      <c r="AG8" s="49">
        <f>+Zal_1_WPF_wg_przeplywow!AG9</f>
        <v>0</v>
      </c>
    </row>
    <row r="9" spans="1:33" ht="14.25" outlineLevel="2">
      <c r="A9" s="47"/>
      <c r="B9" s="236" t="s">
        <v>358</v>
      </c>
      <c r="C9" s="49">
        <f>+Zal_1_WPF_wg_przeplywow!C10</f>
        <v>170050</v>
      </c>
      <c r="D9" s="49">
        <f>+Zal_1_WPF_wg_przeplywow!D10</f>
        <v>179000</v>
      </c>
      <c r="E9" s="49">
        <f>+Zal_1_WPF_wg_przeplywow!E10</f>
        <v>0</v>
      </c>
      <c r="F9" s="49">
        <f>+Zal_1_WPF_wg_przeplywow!F10</f>
        <v>0</v>
      </c>
      <c r="G9" s="49">
        <f>+Zal_1_WPF_wg_przeplywow!G10</f>
        <v>0</v>
      </c>
      <c r="H9" s="49">
        <f>+Zal_1_WPF_wg_przeplywow!H10</f>
        <v>0</v>
      </c>
      <c r="I9" s="49">
        <f>+Zal_1_WPF_wg_przeplywow!I10</f>
        <v>0</v>
      </c>
      <c r="J9" s="49">
        <f>+Zal_1_WPF_wg_przeplywow!J10</f>
        <v>0</v>
      </c>
      <c r="K9" s="49">
        <f>+Zal_1_WPF_wg_przeplywow!K10</f>
        <v>0</v>
      </c>
      <c r="L9" s="49">
        <f>+Zal_1_WPF_wg_przeplywow!L10</f>
        <v>0</v>
      </c>
      <c r="M9" s="49">
        <f>+Zal_1_WPF_wg_przeplywow!M10</f>
        <v>0</v>
      </c>
      <c r="N9" s="49">
        <f>+Zal_1_WPF_wg_przeplywow!N10</f>
        <v>0</v>
      </c>
      <c r="O9" s="49">
        <f>+Zal_1_WPF_wg_przeplywow!O10</f>
        <v>0</v>
      </c>
      <c r="P9" s="49">
        <f>+Zal_1_WPF_wg_przeplywow!P10</f>
        <v>0</v>
      </c>
      <c r="Q9" s="49">
        <f>+Zal_1_WPF_wg_przeplywow!Q10</f>
        <v>0</v>
      </c>
      <c r="R9" s="49">
        <f>+Zal_1_WPF_wg_przeplywow!R10</f>
        <v>0</v>
      </c>
      <c r="S9" s="49">
        <f>+Zal_1_WPF_wg_przeplywow!S10</f>
        <v>0</v>
      </c>
      <c r="T9" s="49">
        <f>+Zal_1_WPF_wg_przeplywow!T10</f>
        <v>0</v>
      </c>
      <c r="U9" s="49">
        <f>+Zal_1_WPF_wg_przeplywow!U10</f>
        <v>0</v>
      </c>
      <c r="V9" s="49">
        <f>+Zal_1_WPF_wg_przeplywow!V10</f>
        <v>0</v>
      </c>
      <c r="W9" s="49">
        <f>+Zal_1_WPF_wg_przeplywow!W10</f>
        <v>0</v>
      </c>
      <c r="X9" s="49">
        <f>+Zal_1_WPF_wg_przeplywow!X10</f>
        <v>0</v>
      </c>
      <c r="Y9" s="49">
        <f>+Zal_1_WPF_wg_przeplywow!Y10</f>
        <v>0</v>
      </c>
      <c r="Z9" s="49">
        <f>+Zal_1_WPF_wg_przeplywow!Z10</f>
        <v>0</v>
      </c>
      <c r="AA9" s="49">
        <f>+Zal_1_WPF_wg_przeplywow!AA10</f>
        <v>0</v>
      </c>
      <c r="AB9" s="49">
        <f>+Zal_1_WPF_wg_przeplywow!AB10</f>
        <v>0</v>
      </c>
      <c r="AC9" s="49">
        <f>+Zal_1_WPF_wg_przeplywow!AC10</f>
        <v>0</v>
      </c>
      <c r="AD9" s="49">
        <f>+Zal_1_WPF_wg_przeplywow!AD10</f>
        <v>0</v>
      </c>
      <c r="AE9" s="49">
        <f>+Zal_1_WPF_wg_przeplywow!AE10</f>
        <v>0</v>
      </c>
      <c r="AF9" s="49">
        <f>+Zal_1_WPF_wg_przeplywow!AF10</f>
        <v>0</v>
      </c>
      <c r="AG9" s="49">
        <f>+Zal_1_WPF_wg_przeplywow!AG10</f>
        <v>0</v>
      </c>
    </row>
    <row r="10" spans="1:33" ht="14.25" outlineLevel="1">
      <c r="A10" s="47"/>
      <c r="B10" s="88" t="s">
        <v>268</v>
      </c>
      <c r="C10" s="49">
        <f>+Zal_1_WPF_wg_przeplywow!C11</f>
        <v>1702017</v>
      </c>
      <c r="D10" s="49">
        <f>+Zal_1_WPF_wg_przeplywow!D11</f>
        <v>668828</v>
      </c>
      <c r="E10" s="49">
        <f>+Zal_1_WPF_wg_przeplywow!E11</f>
        <v>510000</v>
      </c>
      <c r="F10" s="49">
        <f>+Zal_1_WPF_wg_przeplywow!F11</f>
        <v>1934394</v>
      </c>
      <c r="G10" s="49">
        <f>+Zal_1_WPF_wg_przeplywow!G11</f>
        <v>510000</v>
      </c>
      <c r="H10" s="49">
        <f>+Zal_1_WPF_wg_przeplywow!H11</f>
        <v>0</v>
      </c>
      <c r="I10" s="49">
        <f>+Zal_1_WPF_wg_przeplywow!I11</f>
        <v>0</v>
      </c>
      <c r="J10" s="49">
        <f>+Zal_1_WPF_wg_przeplywow!J11</f>
        <v>0</v>
      </c>
      <c r="K10" s="49">
        <f>+Zal_1_WPF_wg_przeplywow!K11</f>
        <v>0</v>
      </c>
      <c r="L10" s="49">
        <f>+Zal_1_WPF_wg_przeplywow!L11</f>
        <v>0</v>
      </c>
      <c r="M10" s="49">
        <f>+Zal_1_WPF_wg_przeplywow!M11</f>
        <v>0</v>
      </c>
      <c r="N10" s="49">
        <f>+Zal_1_WPF_wg_przeplywow!N11</f>
        <v>0</v>
      </c>
      <c r="O10" s="49">
        <f>+Zal_1_WPF_wg_przeplywow!O11</f>
        <v>0</v>
      </c>
      <c r="P10" s="49">
        <f>+Zal_1_WPF_wg_przeplywow!P11</f>
        <v>0</v>
      </c>
      <c r="Q10" s="49">
        <f>+Zal_1_WPF_wg_przeplywow!Q11</f>
        <v>0</v>
      </c>
      <c r="R10" s="49">
        <f>+Zal_1_WPF_wg_przeplywow!R11</f>
        <v>0</v>
      </c>
      <c r="S10" s="49">
        <f>+Zal_1_WPF_wg_przeplywow!S11</f>
        <v>0</v>
      </c>
      <c r="T10" s="49">
        <f>+Zal_1_WPF_wg_przeplywow!T11</f>
        <v>0</v>
      </c>
      <c r="U10" s="49">
        <f>+Zal_1_WPF_wg_przeplywow!U11</f>
        <v>0</v>
      </c>
      <c r="V10" s="49">
        <f>+Zal_1_WPF_wg_przeplywow!V11</f>
        <v>0</v>
      </c>
      <c r="W10" s="49">
        <f>+Zal_1_WPF_wg_przeplywow!W11</f>
        <v>0</v>
      </c>
      <c r="X10" s="49">
        <f>+Zal_1_WPF_wg_przeplywow!X11</f>
        <v>0</v>
      </c>
      <c r="Y10" s="49">
        <f>+Zal_1_WPF_wg_przeplywow!Y11</f>
        <v>0</v>
      </c>
      <c r="Z10" s="49">
        <f>+Zal_1_WPF_wg_przeplywow!Z11</f>
        <v>0</v>
      </c>
      <c r="AA10" s="49">
        <f>+Zal_1_WPF_wg_przeplywow!AA11</f>
        <v>0</v>
      </c>
      <c r="AB10" s="49">
        <f>+Zal_1_WPF_wg_przeplywow!AB11</f>
        <v>0</v>
      </c>
      <c r="AC10" s="49">
        <f>+Zal_1_WPF_wg_przeplywow!AC11</f>
        <v>0</v>
      </c>
      <c r="AD10" s="49">
        <f>+Zal_1_WPF_wg_przeplywow!AD11</f>
        <v>0</v>
      </c>
      <c r="AE10" s="49">
        <f>+Zal_1_WPF_wg_przeplywow!AE11</f>
        <v>0</v>
      </c>
      <c r="AF10" s="49">
        <f>+Zal_1_WPF_wg_przeplywow!AF11</f>
        <v>0</v>
      </c>
      <c r="AG10" s="49">
        <f>+Zal_1_WPF_wg_przeplywow!AG11</f>
        <v>0</v>
      </c>
    </row>
    <row r="11" spans="1:33" ht="14.25" outlineLevel="2">
      <c r="A11" s="47"/>
      <c r="B11" s="87" t="s">
        <v>85</v>
      </c>
      <c r="C11" s="49">
        <f>+Zal_1_WPF_wg_przeplywow!C12</f>
        <v>0</v>
      </c>
      <c r="D11" s="49">
        <f>+Zal_1_WPF_wg_przeplywow!D12</f>
        <v>0</v>
      </c>
      <c r="E11" s="49">
        <f>+Zal_1_WPF_wg_przeplywow!E12</f>
        <v>0</v>
      </c>
      <c r="F11" s="49">
        <f>+Zal_1_WPF_wg_przeplywow!F12</f>
        <v>0</v>
      </c>
      <c r="G11" s="49">
        <f>+Zal_1_WPF_wg_przeplywow!G12</f>
        <v>0</v>
      </c>
      <c r="H11" s="49">
        <f>+Zal_1_WPF_wg_przeplywow!H12</f>
        <v>0</v>
      </c>
      <c r="I11" s="49">
        <f>+Zal_1_WPF_wg_przeplywow!I12</f>
        <v>0</v>
      </c>
      <c r="J11" s="49">
        <f>+Zal_1_WPF_wg_przeplywow!J12</f>
        <v>0</v>
      </c>
      <c r="K11" s="49">
        <f>+Zal_1_WPF_wg_przeplywow!K12</f>
        <v>0</v>
      </c>
      <c r="L11" s="49">
        <f>+Zal_1_WPF_wg_przeplywow!L12</f>
        <v>0</v>
      </c>
      <c r="M11" s="49">
        <f>+Zal_1_WPF_wg_przeplywow!M12</f>
        <v>0</v>
      </c>
      <c r="N11" s="49">
        <f>+Zal_1_WPF_wg_przeplywow!N12</f>
        <v>0</v>
      </c>
      <c r="O11" s="49">
        <f>+Zal_1_WPF_wg_przeplywow!O12</f>
        <v>0</v>
      </c>
      <c r="P11" s="49">
        <f>+Zal_1_WPF_wg_przeplywow!P12</f>
        <v>0</v>
      </c>
      <c r="Q11" s="49">
        <f>+Zal_1_WPF_wg_przeplywow!Q12</f>
        <v>0</v>
      </c>
      <c r="R11" s="49">
        <f>+Zal_1_WPF_wg_przeplywow!R12</f>
        <v>0</v>
      </c>
      <c r="S11" s="49">
        <f>+Zal_1_WPF_wg_przeplywow!S12</f>
        <v>0</v>
      </c>
      <c r="T11" s="49">
        <f>+Zal_1_WPF_wg_przeplywow!T12</f>
        <v>0</v>
      </c>
      <c r="U11" s="49">
        <f>+Zal_1_WPF_wg_przeplywow!U12</f>
        <v>0</v>
      </c>
      <c r="V11" s="49">
        <f>+Zal_1_WPF_wg_przeplywow!V12</f>
        <v>0</v>
      </c>
      <c r="W11" s="49">
        <f>+Zal_1_WPF_wg_przeplywow!W12</f>
        <v>0</v>
      </c>
      <c r="X11" s="49">
        <f>+Zal_1_WPF_wg_przeplywow!X12</f>
        <v>0</v>
      </c>
      <c r="Y11" s="49">
        <f>+Zal_1_WPF_wg_przeplywow!Y12</f>
        <v>0</v>
      </c>
      <c r="Z11" s="49">
        <f>+Zal_1_WPF_wg_przeplywow!Z12</f>
        <v>0</v>
      </c>
      <c r="AA11" s="49">
        <f>+Zal_1_WPF_wg_przeplywow!AA12</f>
        <v>0</v>
      </c>
      <c r="AB11" s="49">
        <f>+Zal_1_WPF_wg_przeplywow!AB12</f>
        <v>0</v>
      </c>
      <c r="AC11" s="49">
        <f>+Zal_1_WPF_wg_przeplywow!AC12</f>
        <v>0</v>
      </c>
      <c r="AD11" s="49">
        <f>+Zal_1_WPF_wg_przeplywow!AD12</f>
        <v>0</v>
      </c>
      <c r="AE11" s="49">
        <f>+Zal_1_WPF_wg_przeplywow!AE12</f>
        <v>0</v>
      </c>
      <c r="AF11" s="49">
        <f>+Zal_1_WPF_wg_przeplywow!AF12</f>
        <v>0</v>
      </c>
      <c r="AG11" s="49">
        <f>+Zal_1_WPF_wg_przeplywow!AG12</f>
        <v>0</v>
      </c>
    </row>
    <row r="12" spans="1:33" ht="24" outlineLevel="2">
      <c r="A12" s="234"/>
      <c r="B12" s="230" t="s">
        <v>357</v>
      </c>
      <c r="C12" s="235">
        <f>+Zal_1_WPF_wg_przeplywow!C13</f>
        <v>1452017</v>
      </c>
      <c r="D12" s="235">
        <f>+Zal_1_WPF_wg_przeplywow!D13</f>
        <v>668828</v>
      </c>
      <c r="E12" s="235">
        <f>+Zal_1_WPF_wg_przeplywow!E13</f>
        <v>510000</v>
      </c>
      <c r="F12" s="235">
        <f>+Zal_1_WPF_wg_przeplywow!F13</f>
        <v>1934394</v>
      </c>
      <c r="G12" s="235">
        <f>+Zal_1_WPF_wg_przeplywow!G13</f>
        <v>510000</v>
      </c>
      <c r="H12" s="235">
        <f>+Zal_1_WPF_wg_przeplywow!H13</f>
        <v>0</v>
      </c>
      <c r="I12" s="235">
        <f>+Zal_1_WPF_wg_przeplywow!I13</f>
        <v>0</v>
      </c>
      <c r="J12" s="235">
        <f>+Zal_1_WPF_wg_przeplywow!J13</f>
        <v>0</v>
      </c>
      <c r="K12" s="235">
        <f>+Zal_1_WPF_wg_przeplywow!K13</f>
        <v>0</v>
      </c>
      <c r="L12" s="235">
        <f>+Zal_1_WPF_wg_przeplywow!L13</f>
        <v>0</v>
      </c>
      <c r="M12" s="235">
        <f>+Zal_1_WPF_wg_przeplywow!M13</f>
        <v>0</v>
      </c>
      <c r="N12" s="235">
        <f>+Zal_1_WPF_wg_przeplywow!N13</f>
        <v>0</v>
      </c>
      <c r="O12" s="235">
        <f>+Zal_1_WPF_wg_przeplywow!O13</f>
        <v>0</v>
      </c>
      <c r="P12" s="235">
        <f>+Zal_1_WPF_wg_przeplywow!P13</f>
        <v>0</v>
      </c>
      <c r="Q12" s="235">
        <f>+Zal_1_WPF_wg_przeplywow!Q13</f>
        <v>0</v>
      </c>
      <c r="R12" s="235">
        <f>+Zal_1_WPF_wg_przeplywow!R13</f>
        <v>0</v>
      </c>
      <c r="S12" s="235">
        <f>+Zal_1_WPF_wg_przeplywow!S13</f>
        <v>0</v>
      </c>
      <c r="T12" s="235">
        <f>+Zal_1_WPF_wg_przeplywow!T13</f>
        <v>0</v>
      </c>
      <c r="U12" s="235">
        <f>+Zal_1_WPF_wg_przeplywow!U13</f>
        <v>0</v>
      </c>
      <c r="V12" s="235">
        <f>+Zal_1_WPF_wg_przeplywow!V13</f>
        <v>0</v>
      </c>
      <c r="W12" s="235">
        <f>+Zal_1_WPF_wg_przeplywow!W13</f>
        <v>0</v>
      </c>
      <c r="X12" s="235">
        <f>+Zal_1_WPF_wg_przeplywow!X13</f>
        <v>0</v>
      </c>
      <c r="Y12" s="235">
        <f>+Zal_1_WPF_wg_przeplywow!Y13</f>
        <v>0</v>
      </c>
      <c r="Z12" s="235">
        <f>+Zal_1_WPF_wg_przeplywow!Z13</f>
        <v>0</v>
      </c>
      <c r="AA12" s="235">
        <f>+Zal_1_WPF_wg_przeplywow!AA13</f>
        <v>0</v>
      </c>
      <c r="AB12" s="235">
        <f>+Zal_1_WPF_wg_przeplywow!AB13</f>
        <v>0</v>
      </c>
      <c r="AC12" s="235">
        <f>+Zal_1_WPF_wg_przeplywow!AC13</f>
        <v>0</v>
      </c>
      <c r="AD12" s="235">
        <f>+Zal_1_WPF_wg_przeplywow!AD13</f>
        <v>0</v>
      </c>
      <c r="AE12" s="235">
        <f>+Zal_1_WPF_wg_przeplywow!AE13</f>
        <v>0</v>
      </c>
      <c r="AF12" s="235">
        <f>+Zal_1_WPF_wg_przeplywow!AF13</f>
        <v>0</v>
      </c>
      <c r="AG12" s="235">
        <f>+Zal_1_WPF_wg_przeplywow!AG13</f>
        <v>0</v>
      </c>
    </row>
    <row r="13" spans="1:33" ht="14.25" outlineLevel="2">
      <c r="A13" s="61"/>
      <c r="B13" s="237" t="s">
        <v>361</v>
      </c>
      <c r="C13" s="63">
        <f>+Zal_1_WPF_wg_przeplywow!C14</f>
        <v>1452017</v>
      </c>
      <c r="D13" s="63">
        <f>+Zal_1_WPF_wg_przeplywow!D14</f>
        <v>668828</v>
      </c>
      <c r="E13" s="63">
        <f>+Zal_1_WPF_wg_przeplywow!E14</f>
        <v>510000</v>
      </c>
      <c r="F13" s="63">
        <f>+Zal_1_WPF_wg_przeplywow!F14</f>
        <v>1934394</v>
      </c>
      <c r="G13" s="63">
        <f>+Zal_1_WPF_wg_przeplywow!G14</f>
        <v>510000</v>
      </c>
      <c r="H13" s="63">
        <f>+Zal_1_WPF_wg_przeplywow!H14</f>
        <v>0</v>
      </c>
      <c r="I13" s="63">
        <f>+Zal_1_WPF_wg_przeplywow!I14</f>
        <v>0</v>
      </c>
      <c r="J13" s="63">
        <f>+Zal_1_WPF_wg_przeplywow!J14</f>
        <v>0</v>
      </c>
      <c r="K13" s="63">
        <f>+Zal_1_WPF_wg_przeplywow!K14</f>
        <v>0</v>
      </c>
      <c r="L13" s="63">
        <f>+Zal_1_WPF_wg_przeplywow!L14</f>
        <v>0</v>
      </c>
      <c r="M13" s="63">
        <f>+Zal_1_WPF_wg_przeplywow!M14</f>
        <v>0</v>
      </c>
      <c r="N13" s="63">
        <f>+Zal_1_WPF_wg_przeplywow!N14</f>
        <v>0</v>
      </c>
      <c r="O13" s="63">
        <f>+Zal_1_WPF_wg_przeplywow!O14</f>
        <v>0</v>
      </c>
      <c r="P13" s="63">
        <f>+Zal_1_WPF_wg_przeplywow!P14</f>
        <v>0</v>
      </c>
      <c r="Q13" s="63">
        <f>+Zal_1_WPF_wg_przeplywow!Q14</f>
        <v>0</v>
      </c>
      <c r="R13" s="63">
        <f>+Zal_1_WPF_wg_przeplywow!R14</f>
        <v>0</v>
      </c>
      <c r="S13" s="63">
        <f>+Zal_1_WPF_wg_przeplywow!S14</f>
        <v>0</v>
      </c>
      <c r="T13" s="63">
        <f>+Zal_1_WPF_wg_przeplywow!T14</f>
        <v>0</v>
      </c>
      <c r="U13" s="63">
        <f>+Zal_1_WPF_wg_przeplywow!U14</f>
        <v>0</v>
      </c>
      <c r="V13" s="63">
        <f>+Zal_1_WPF_wg_przeplywow!V14</f>
        <v>0</v>
      </c>
      <c r="W13" s="63">
        <f>+Zal_1_WPF_wg_przeplywow!W14</f>
        <v>0</v>
      </c>
      <c r="X13" s="63">
        <f>+Zal_1_WPF_wg_przeplywow!X14</f>
        <v>0</v>
      </c>
      <c r="Y13" s="63">
        <f>+Zal_1_WPF_wg_przeplywow!Y14</f>
        <v>0</v>
      </c>
      <c r="Z13" s="63">
        <f>+Zal_1_WPF_wg_przeplywow!Z14</f>
        <v>0</v>
      </c>
      <c r="AA13" s="63">
        <f>+Zal_1_WPF_wg_przeplywow!AA14</f>
        <v>0</v>
      </c>
      <c r="AB13" s="63">
        <f>+Zal_1_WPF_wg_przeplywow!AB14</f>
        <v>0</v>
      </c>
      <c r="AC13" s="63">
        <f>+Zal_1_WPF_wg_przeplywow!AC14</f>
        <v>0</v>
      </c>
      <c r="AD13" s="63">
        <f>+Zal_1_WPF_wg_przeplywow!AD14</f>
        <v>0</v>
      </c>
      <c r="AE13" s="63">
        <f>+Zal_1_WPF_wg_przeplywow!AE14</f>
        <v>0</v>
      </c>
      <c r="AF13" s="63">
        <f>+Zal_1_WPF_wg_przeplywow!AF14</f>
        <v>0</v>
      </c>
      <c r="AG13" s="63">
        <f>+Zal_1_WPF_wg_przeplywow!AG14</f>
        <v>0</v>
      </c>
    </row>
    <row r="14" spans="1:255" s="2" customFormat="1" ht="15" thickBot="1">
      <c r="A14" s="44" t="s">
        <v>2</v>
      </c>
      <c r="B14" s="45" t="s">
        <v>45</v>
      </c>
      <c r="C14" s="46">
        <f>+Zal_1_WPF_wg_przeplywow!C76</f>
        <v>31540829</v>
      </c>
      <c r="D14" s="46">
        <f>+Zal_1_WPF_wg_przeplywow!D76</f>
        <v>30862737</v>
      </c>
      <c r="E14" s="46">
        <f>+Zal_1_WPF_wg_przeplywow!E76</f>
        <v>31156008</v>
      </c>
      <c r="F14" s="46">
        <f>+Zal_1_WPF_wg_przeplywow!F76</f>
        <v>33611274</v>
      </c>
      <c r="G14" s="46">
        <f>+Zal_1_WPF_wg_przeplywow!G76</f>
        <v>31366241</v>
      </c>
      <c r="H14" s="46">
        <f>+Zal_1_WPF_wg_przeplywow!H76</f>
        <v>31928223</v>
      </c>
      <c r="I14" s="46">
        <f>+Zal_1_WPF_wg_przeplywow!I76</f>
        <v>32544570</v>
      </c>
      <c r="J14" s="46">
        <f>+Zal_1_WPF_wg_przeplywow!J76</f>
        <v>34741407</v>
      </c>
      <c r="K14" s="46">
        <f>+Zal_1_WPF_wg_przeplywow!K76</f>
        <v>34453073</v>
      </c>
      <c r="L14" s="46">
        <f>+Zal_1_WPF_wg_przeplywow!L76</f>
        <v>36436603</v>
      </c>
      <c r="M14" s="46">
        <f>+Zal_1_WPF_wg_przeplywow!M76</f>
        <v>0</v>
      </c>
      <c r="N14" s="46">
        <f>+Zal_1_WPF_wg_przeplywow!N76</f>
        <v>0</v>
      </c>
      <c r="O14" s="46">
        <f>+Zal_1_WPF_wg_przeplywow!O76</f>
        <v>0</v>
      </c>
      <c r="P14" s="46">
        <f>+Zal_1_WPF_wg_przeplywow!P76</f>
        <v>0</v>
      </c>
      <c r="Q14" s="46">
        <f>+Zal_1_WPF_wg_przeplywow!Q76</f>
        <v>0</v>
      </c>
      <c r="R14" s="46">
        <f>+Zal_1_WPF_wg_przeplywow!R76</f>
        <v>0</v>
      </c>
      <c r="S14" s="46">
        <f>+Zal_1_WPF_wg_przeplywow!S76</f>
        <v>0</v>
      </c>
      <c r="T14" s="46">
        <f>+Zal_1_WPF_wg_przeplywow!T76</f>
        <v>0</v>
      </c>
      <c r="U14" s="46">
        <f>+Zal_1_WPF_wg_przeplywow!U76</f>
        <v>0</v>
      </c>
      <c r="V14" s="46">
        <f>+Zal_1_WPF_wg_przeplywow!V76</f>
        <v>0</v>
      </c>
      <c r="W14" s="46">
        <f>+Zal_1_WPF_wg_przeplywow!W76</f>
        <v>0</v>
      </c>
      <c r="X14" s="46">
        <f>+Zal_1_WPF_wg_przeplywow!X76</f>
        <v>0</v>
      </c>
      <c r="Y14" s="46">
        <f>+Zal_1_WPF_wg_przeplywow!Y76</f>
        <v>0</v>
      </c>
      <c r="Z14" s="46">
        <f>+Zal_1_WPF_wg_przeplywow!Z76</f>
        <v>0</v>
      </c>
      <c r="AA14" s="46">
        <f>+Zal_1_WPF_wg_przeplywow!AA76</f>
        <v>0</v>
      </c>
      <c r="AB14" s="46">
        <f>+Zal_1_WPF_wg_przeplywow!AB76</f>
        <v>0</v>
      </c>
      <c r="AC14" s="46">
        <f>+Zal_1_WPF_wg_przeplywow!AC76</f>
        <v>0</v>
      </c>
      <c r="AD14" s="46">
        <f>+Zal_1_WPF_wg_przeplywow!AD76</f>
        <v>0</v>
      </c>
      <c r="AE14" s="46">
        <f>+Zal_1_WPF_wg_przeplywow!AE76</f>
        <v>0</v>
      </c>
      <c r="AF14" s="46">
        <f>+Zal_1_WPF_wg_przeplywow!AF76</f>
        <v>0</v>
      </c>
      <c r="AG14" s="46">
        <f>+Zal_1_WPF_wg_przeplywow!AG76</f>
        <v>0</v>
      </c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18" customFormat="1" ht="14.25" outlineLevel="1">
      <c r="A15" s="52"/>
      <c r="B15" s="48" t="s">
        <v>60</v>
      </c>
      <c r="C15" s="53">
        <f>+Zal_1_WPF_wg_przeplywow!C73</f>
        <v>26930366</v>
      </c>
      <c r="D15" s="53">
        <f>+Zal_1_WPF_wg_przeplywow!D73</f>
        <v>27651737</v>
      </c>
      <c r="E15" s="53">
        <f>+Zal_1_WPF_wg_przeplywow!E73</f>
        <v>29036008</v>
      </c>
      <c r="F15" s="53">
        <f>+Zal_1_WPF_wg_przeplywow!F73</f>
        <v>29508344</v>
      </c>
      <c r="G15" s="53">
        <f>+Zal_1_WPF_wg_przeplywow!G73</f>
        <v>30366241</v>
      </c>
      <c r="H15" s="53">
        <f>+Zal_1_WPF_wg_przeplywow!H73</f>
        <v>31221747</v>
      </c>
      <c r="I15" s="53">
        <f>+Zal_1_WPF_wg_przeplywow!I73</f>
        <v>31702291</v>
      </c>
      <c r="J15" s="53">
        <f>+Zal_1_WPF_wg_przeplywow!J73</f>
        <v>33131348</v>
      </c>
      <c r="K15" s="53">
        <f>+Zal_1_WPF_wg_przeplywow!K73</f>
        <v>33556802</v>
      </c>
      <c r="L15" s="53">
        <f>+Zal_1_WPF_wg_przeplywow!L73</f>
        <v>34328608</v>
      </c>
      <c r="M15" s="53">
        <f>+Zal_1_WPF_wg_przeplywow!M73</f>
        <v>0</v>
      </c>
      <c r="N15" s="53">
        <f>+Zal_1_WPF_wg_przeplywow!N73</f>
        <v>0</v>
      </c>
      <c r="O15" s="53">
        <f>+Zal_1_WPF_wg_przeplywow!O73</f>
        <v>0</v>
      </c>
      <c r="P15" s="53">
        <f>+Zal_1_WPF_wg_przeplywow!P73</f>
        <v>0</v>
      </c>
      <c r="Q15" s="53">
        <f>+Zal_1_WPF_wg_przeplywow!Q73</f>
        <v>0</v>
      </c>
      <c r="R15" s="53">
        <f>+Zal_1_WPF_wg_przeplywow!R73</f>
        <v>0</v>
      </c>
      <c r="S15" s="53">
        <f>+Zal_1_WPF_wg_przeplywow!S73</f>
        <v>0</v>
      </c>
      <c r="T15" s="53">
        <f>+Zal_1_WPF_wg_przeplywow!T73</f>
        <v>0</v>
      </c>
      <c r="U15" s="53">
        <f>+Zal_1_WPF_wg_przeplywow!U73</f>
        <v>0</v>
      </c>
      <c r="V15" s="53">
        <f>+Zal_1_WPF_wg_przeplywow!V73</f>
        <v>0</v>
      </c>
      <c r="W15" s="53">
        <f>+Zal_1_WPF_wg_przeplywow!W73</f>
        <v>0</v>
      </c>
      <c r="X15" s="53">
        <f>+Zal_1_WPF_wg_przeplywow!X73</f>
        <v>0</v>
      </c>
      <c r="Y15" s="53">
        <f>+Zal_1_WPF_wg_przeplywow!Y73</f>
        <v>0</v>
      </c>
      <c r="Z15" s="53">
        <f>+Zal_1_WPF_wg_przeplywow!Z73</f>
        <v>0</v>
      </c>
      <c r="AA15" s="53">
        <f>+Zal_1_WPF_wg_przeplywow!AA73</f>
        <v>0</v>
      </c>
      <c r="AB15" s="53">
        <f>+Zal_1_WPF_wg_przeplywow!AB73</f>
        <v>0</v>
      </c>
      <c r="AC15" s="53">
        <f>+Zal_1_WPF_wg_przeplywow!AC73</f>
        <v>0</v>
      </c>
      <c r="AD15" s="53">
        <f>+Zal_1_WPF_wg_przeplywow!AD73</f>
        <v>0</v>
      </c>
      <c r="AE15" s="53">
        <f>+Zal_1_WPF_wg_przeplywow!AE73</f>
        <v>0</v>
      </c>
      <c r="AF15" s="53">
        <f>+Zal_1_WPF_wg_przeplywow!AF73</f>
        <v>0</v>
      </c>
      <c r="AG15" s="53">
        <f>+Zal_1_WPF_wg_przeplywow!AG73</f>
        <v>0</v>
      </c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33" ht="24" outlineLevel="2">
      <c r="A16" s="52"/>
      <c r="B16" s="50" t="s">
        <v>3</v>
      </c>
      <c r="C16" s="53">
        <f>+Zal_1_WPF_wg_przeplywow!C15</f>
        <v>26200366</v>
      </c>
      <c r="D16" s="53">
        <f>+Zal_1_WPF_wg_przeplywow!D15</f>
        <v>27041737</v>
      </c>
      <c r="E16" s="53">
        <f>+Zal_1_WPF_wg_przeplywow!E15</f>
        <v>28496008</v>
      </c>
      <c r="F16" s="53">
        <f>+Zal_1_WPF_wg_przeplywow!F15</f>
        <v>29008344</v>
      </c>
      <c r="G16" s="53">
        <f>+Zal_1_WPF_wg_przeplywow!G15</f>
        <v>30016241</v>
      </c>
      <c r="H16" s="53">
        <f>+Zal_1_WPF_wg_przeplywow!H15</f>
        <v>30971747</v>
      </c>
      <c r="I16" s="53">
        <f>+Zal_1_WPF_wg_przeplywow!I15</f>
        <v>31582291</v>
      </c>
      <c r="J16" s="53">
        <f>+Zal_1_WPF_wg_przeplywow!J15</f>
        <v>32914948</v>
      </c>
      <c r="K16" s="53">
        <f>+Zal_1_WPF_wg_przeplywow!K15</f>
        <v>33426802</v>
      </c>
      <c r="L16" s="53">
        <f>+Zal_1_WPF_wg_przeplywow!L15</f>
        <v>34208608</v>
      </c>
      <c r="M16" s="53">
        <f>+Zal_1_WPF_wg_przeplywow!M15</f>
        <v>0</v>
      </c>
      <c r="N16" s="53">
        <f>+Zal_1_WPF_wg_przeplywow!N15</f>
        <v>0</v>
      </c>
      <c r="O16" s="53">
        <f>+Zal_1_WPF_wg_przeplywow!O15</f>
        <v>0</v>
      </c>
      <c r="P16" s="53">
        <f>+Zal_1_WPF_wg_przeplywow!P15</f>
        <v>0</v>
      </c>
      <c r="Q16" s="53">
        <f>+Zal_1_WPF_wg_przeplywow!Q15</f>
        <v>0</v>
      </c>
      <c r="R16" s="53">
        <f>+Zal_1_WPF_wg_przeplywow!R15</f>
        <v>0</v>
      </c>
      <c r="S16" s="53">
        <f>+Zal_1_WPF_wg_przeplywow!S15</f>
        <v>0</v>
      </c>
      <c r="T16" s="53">
        <f>+Zal_1_WPF_wg_przeplywow!T15</f>
        <v>0</v>
      </c>
      <c r="U16" s="53">
        <f>+Zal_1_WPF_wg_przeplywow!U15</f>
        <v>0</v>
      </c>
      <c r="V16" s="53">
        <f>+Zal_1_WPF_wg_przeplywow!V15</f>
        <v>0</v>
      </c>
      <c r="W16" s="53">
        <f>+Zal_1_WPF_wg_przeplywow!W15</f>
        <v>0</v>
      </c>
      <c r="X16" s="53">
        <f>+Zal_1_WPF_wg_przeplywow!X15</f>
        <v>0</v>
      </c>
      <c r="Y16" s="53">
        <f>+Zal_1_WPF_wg_przeplywow!Y15</f>
        <v>0</v>
      </c>
      <c r="Z16" s="53">
        <f>+Zal_1_WPF_wg_przeplywow!Z15</f>
        <v>0</v>
      </c>
      <c r="AA16" s="53">
        <f>+Zal_1_WPF_wg_przeplywow!AA15</f>
        <v>0</v>
      </c>
      <c r="AB16" s="53">
        <f>+Zal_1_WPF_wg_przeplywow!AB15</f>
        <v>0</v>
      </c>
      <c r="AC16" s="53">
        <f>+Zal_1_WPF_wg_przeplywow!AC15</f>
        <v>0</v>
      </c>
      <c r="AD16" s="53">
        <f>+Zal_1_WPF_wg_przeplywow!AD15</f>
        <v>0</v>
      </c>
      <c r="AE16" s="53">
        <f>+Zal_1_WPF_wg_przeplywow!AE15</f>
        <v>0</v>
      </c>
      <c r="AF16" s="53">
        <f>+Zal_1_WPF_wg_przeplywow!AF15</f>
        <v>0</v>
      </c>
      <c r="AG16" s="53">
        <f>+Zal_1_WPF_wg_przeplywow!AG15</f>
        <v>0</v>
      </c>
    </row>
    <row r="17" spans="1:33" ht="14.25" outlineLevel="3">
      <c r="A17" s="47"/>
      <c r="B17" s="54" t="s">
        <v>136</v>
      </c>
      <c r="C17" s="49">
        <f>+Zal_1_WPF_wg_przeplywow!C18</f>
        <v>0</v>
      </c>
      <c r="D17" s="49">
        <f>+Zal_1_WPF_wg_przeplywow!D18</f>
        <v>0</v>
      </c>
      <c r="E17" s="49">
        <f>+Zal_1_WPF_wg_przeplywow!E18</f>
        <v>0</v>
      </c>
      <c r="F17" s="49">
        <f>+Zal_1_WPF_wg_przeplywow!F18</f>
        <v>0</v>
      </c>
      <c r="G17" s="49">
        <f>+Zal_1_WPF_wg_przeplywow!G18</f>
        <v>0</v>
      </c>
      <c r="H17" s="49">
        <f>+Zal_1_WPF_wg_przeplywow!H18</f>
        <v>0</v>
      </c>
      <c r="I17" s="49">
        <f>+Zal_1_WPF_wg_przeplywow!I18</f>
        <v>0</v>
      </c>
      <c r="J17" s="49">
        <f>+Zal_1_WPF_wg_przeplywow!J18</f>
        <v>0</v>
      </c>
      <c r="K17" s="49">
        <f>+Zal_1_WPF_wg_przeplywow!K18</f>
        <v>0</v>
      </c>
      <c r="L17" s="49">
        <f>+Zal_1_WPF_wg_przeplywow!L18</f>
        <v>0</v>
      </c>
      <c r="M17" s="49">
        <f>+Zal_1_WPF_wg_przeplywow!M18</f>
        <v>0</v>
      </c>
      <c r="N17" s="49">
        <f>+Zal_1_WPF_wg_przeplywow!N18</f>
        <v>0</v>
      </c>
      <c r="O17" s="49">
        <f>+Zal_1_WPF_wg_przeplywow!O18</f>
        <v>0</v>
      </c>
      <c r="P17" s="49">
        <f>+Zal_1_WPF_wg_przeplywow!P18</f>
        <v>0</v>
      </c>
      <c r="Q17" s="49">
        <f>+Zal_1_WPF_wg_przeplywow!Q18</f>
        <v>0</v>
      </c>
      <c r="R17" s="49">
        <f>+Zal_1_WPF_wg_przeplywow!R18</f>
        <v>0</v>
      </c>
      <c r="S17" s="49">
        <f>+Zal_1_WPF_wg_przeplywow!S18</f>
        <v>0</v>
      </c>
      <c r="T17" s="49">
        <f>+Zal_1_WPF_wg_przeplywow!T18</f>
        <v>0</v>
      </c>
      <c r="U17" s="49">
        <f>+Zal_1_WPF_wg_przeplywow!U18</f>
        <v>0</v>
      </c>
      <c r="V17" s="49">
        <f>+Zal_1_WPF_wg_przeplywow!V18</f>
        <v>0</v>
      </c>
      <c r="W17" s="49">
        <f>+Zal_1_WPF_wg_przeplywow!W18</f>
        <v>0</v>
      </c>
      <c r="X17" s="49">
        <f>+Zal_1_WPF_wg_przeplywow!X18</f>
        <v>0</v>
      </c>
      <c r="Y17" s="49">
        <f>+Zal_1_WPF_wg_przeplywow!Y18</f>
        <v>0</v>
      </c>
      <c r="Z17" s="49">
        <f>+Zal_1_WPF_wg_przeplywow!Z18</f>
        <v>0</v>
      </c>
      <c r="AA17" s="49">
        <f>+Zal_1_WPF_wg_przeplywow!AA18</f>
        <v>0</v>
      </c>
      <c r="AB17" s="49">
        <f>+Zal_1_WPF_wg_przeplywow!AB18</f>
        <v>0</v>
      </c>
      <c r="AC17" s="49">
        <f>+Zal_1_WPF_wg_przeplywow!AC18</f>
        <v>0</v>
      </c>
      <c r="AD17" s="49">
        <f>+Zal_1_WPF_wg_przeplywow!AD18</f>
        <v>0</v>
      </c>
      <c r="AE17" s="49">
        <f>+Zal_1_WPF_wg_przeplywow!AE18</f>
        <v>0</v>
      </c>
      <c r="AF17" s="49">
        <f>+Zal_1_WPF_wg_przeplywow!AF18</f>
        <v>0</v>
      </c>
      <c r="AG17" s="49">
        <f>+Zal_1_WPF_wg_przeplywow!AG18</f>
        <v>0</v>
      </c>
    </row>
    <row r="18" spans="1:33" ht="24" outlineLevel="3">
      <c r="A18" s="47"/>
      <c r="B18" s="55" t="s">
        <v>137</v>
      </c>
      <c r="C18" s="49">
        <f>+Zal_1_WPF_wg_przeplywow!C19</f>
        <v>0</v>
      </c>
      <c r="D18" s="49">
        <f>+Zal_1_WPF_wg_przeplywow!D19</f>
        <v>0</v>
      </c>
      <c r="E18" s="49">
        <f>+Zal_1_WPF_wg_przeplywow!E19</f>
        <v>0</v>
      </c>
      <c r="F18" s="49">
        <f>+Zal_1_WPF_wg_przeplywow!F19</f>
        <v>0</v>
      </c>
      <c r="G18" s="49">
        <f>+Zal_1_WPF_wg_przeplywow!G19</f>
        <v>0</v>
      </c>
      <c r="H18" s="49">
        <f>+Zal_1_WPF_wg_przeplywow!H19</f>
        <v>0</v>
      </c>
      <c r="I18" s="49">
        <f>+Zal_1_WPF_wg_przeplywow!I19</f>
        <v>0</v>
      </c>
      <c r="J18" s="49">
        <f>+Zal_1_WPF_wg_przeplywow!J19</f>
        <v>0</v>
      </c>
      <c r="K18" s="49">
        <f>+Zal_1_WPF_wg_przeplywow!K19</f>
        <v>0</v>
      </c>
      <c r="L18" s="49">
        <f>+Zal_1_WPF_wg_przeplywow!L19</f>
        <v>0</v>
      </c>
      <c r="M18" s="49">
        <f>+Zal_1_WPF_wg_przeplywow!M19</f>
        <v>0</v>
      </c>
      <c r="N18" s="49">
        <f>+Zal_1_WPF_wg_przeplywow!N19</f>
        <v>0</v>
      </c>
      <c r="O18" s="49">
        <f>+Zal_1_WPF_wg_przeplywow!O19</f>
        <v>0</v>
      </c>
      <c r="P18" s="49">
        <f>+Zal_1_WPF_wg_przeplywow!P19</f>
        <v>0</v>
      </c>
      <c r="Q18" s="49">
        <f>+Zal_1_WPF_wg_przeplywow!Q19</f>
        <v>0</v>
      </c>
      <c r="R18" s="49">
        <f>+Zal_1_WPF_wg_przeplywow!R19</f>
        <v>0</v>
      </c>
      <c r="S18" s="49">
        <f>+Zal_1_WPF_wg_przeplywow!S19</f>
        <v>0</v>
      </c>
      <c r="T18" s="49">
        <f>+Zal_1_WPF_wg_przeplywow!T19</f>
        <v>0</v>
      </c>
      <c r="U18" s="49">
        <f>+Zal_1_WPF_wg_przeplywow!U19</f>
        <v>0</v>
      </c>
      <c r="V18" s="49">
        <f>+Zal_1_WPF_wg_przeplywow!V19</f>
        <v>0</v>
      </c>
      <c r="W18" s="49">
        <f>+Zal_1_WPF_wg_przeplywow!W19</f>
        <v>0</v>
      </c>
      <c r="X18" s="49">
        <f>+Zal_1_WPF_wg_przeplywow!X19</f>
        <v>0</v>
      </c>
      <c r="Y18" s="49">
        <f>+Zal_1_WPF_wg_przeplywow!Y19</f>
        <v>0</v>
      </c>
      <c r="Z18" s="49">
        <f>+Zal_1_WPF_wg_przeplywow!Z19</f>
        <v>0</v>
      </c>
      <c r="AA18" s="49">
        <f>+Zal_1_WPF_wg_przeplywow!AA19</f>
        <v>0</v>
      </c>
      <c r="AB18" s="49">
        <f>+Zal_1_WPF_wg_przeplywow!AB19</f>
        <v>0</v>
      </c>
      <c r="AC18" s="49">
        <f>+Zal_1_WPF_wg_przeplywow!AC19</f>
        <v>0</v>
      </c>
      <c r="AD18" s="49">
        <f>+Zal_1_WPF_wg_przeplywow!AD19</f>
        <v>0</v>
      </c>
      <c r="AE18" s="49">
        <f>+Zal_1_WPF_wg_przeplywow!AE19</f>
        <v>0</v>
      </c>
      <c r="AF18" s="49">
        <f>+Zal_1_WPF_wg_przeplywow!AF19</f>
        <v>0</v>
      </c>
      <c r="AG18" s="49">
        <f>+Zal_1_WPF_wg_przeplywow!AG19</f>
        <v>0</v>
      </c>
    </row>
    <row r="19" spans="1:33" ht="24" outlineLevel="3">
      <c r="A19" s="47"/>
      <c r="B19" s="54" t="s">
        <v>363</v>
      </c>
      <c r="C19" s="49">
        <f>+Zal_1_WPF_wg_przeplywow!C20</f>
        <v>0</v>
      </c>
      <c r="D19" s="49">
        <f>+Zal_1_WPF_wg_przeplywow!D20</f>
        <v>0</v>
      </c>
      <c r="E19" s="49">
        <f>+Zal_1_WPF_wg_przeplywow!E20</f>
        <v>0</v>
      </c>
      <c r="F19" s="49">
        <f>+Zal_1_WPF_wg_przeplywow!F20</f>
        <v>0</v>
      </c>
      <c r="G19" s="49">
        <f>+Zal_1_WPF_wg_przeplywow!G20</f>
        <v>0</v>
      </c>
      <c r="H19" s="49">
        <f>+Zal_1_WPF_wg_przeplywow!H20</f>
        <v>0</v>
      </c>
      <c r="I19" s="49">
        <f>+Zal_1_WPF_wg_przeplywow!I20</f>
        <v>0</v>
      </c>
      <c r="J19" s="49">
        <f>+Zal_1_WPF_wg_przeplywow!J20</f>
        <v>0</v>
      </c>
      <c r="K19" s="49">
        <f>+Zal_1_WPF_wg_przeplywow!K20</f>
        <v>0</v>
      </c>
      <c r="L19" s="49">
        <f>+Zal_1_WPF_wg_przeplywow!L20</f>
        <v>0</v>
      </c>
      <c r="M19" s="49">
        <f>+Zal_1_WPF_wg_przeplywow!M20</f>
        <v>0</v>
      </c>
      <c r="N19" s="49">
        <f>+Zal_1_WPF_wg_przeplywow!N20</f>
        <v>0</v>
      </c>
      <c r="O19" s="49">
        <f>+Zal_1_WPF_wg_przeplywow!O20</f>
        <v>0</v>
      </c>
      <c r="P19" s="49">
        <f>+Zal_1_WPF_wg_przeplywow!P20</f>
        <v>0</v>
      </c>
      <c r="Q19" s="49">
        <f>+Zal_1_WPF_wg_przeplywow!Q20</f>
        <v>0</v>
      </c>
      <c r="R19" s="49">
        <f>+Zal_1_WPF_wg_przeplywow!R20</f>
        <v>0</v>
      </c>
      <c r="S19" s="49">
        <f>+Zal_1_WPF_wg_przeplywow!S20</f>
        <v>0</v>
      </c>
      <c r="T19" s="49">
        <f>+Zal_1_WPF_wg_przeplywow!T20</f>
        <v>0</v>
      </c>
      <c r="U19" s="49">
        <f>+Zal_1_WPF_wg_przeplywow!U20</f>
        <v>0</v>
      </c>
      <c r="V19" s="49">
        <f>+Zal_1_WPF_wg_przeplywow!V20</f>
        <v>0</v>
      </c>
      <c r="W19" s="49">
        <f>+Zal_1_WPF_wg_przeplywow!W20</f>
        <v>0</v>
      </c>
      <c r="X19" s="49">
        <f>+Zal_1_WPF_wg_przeplywow!X20</f>
        <v>0</v>
      </c>
      <c r="Y19" s="49">
        <f>+Zal_1_WPF_wg_przeplywow!Y20</f>
        <v>0</v>
      </c>
      <c r="Z19" s="49">
        <f>+Zal_1_WPF_wg_przeplywow!Z20</f>
        <v>0</v>
      </c>
      <c r="AA19" s="49">
        <f>+Zal_1_WPF_wg_przeplywow!AA20</f>
        <v>0</v>
      </c>
      <c r="AB19" s="49">
        <f>+Zal_1_WPF_wg_przeplywow!AB20</f>
        <v>0</v>
      </c>
      <c r="AC19" s="49">
        <f>+Zal_1_WPF_wg_przeplywow!AC20</f>
        <v>0</v>
      </c>
      <c r="AD19" s="49">
        <f>+Zal_1_WPF_wg_przeplywow!AD20</f>
        <v>0</v>
      </c>
      <c r="AE19" s="49">
        <f>+Zal_1_WPF_wg_przeplywow!AE20</f>
        <v>0</v>
      </c>
      <c r="AF19" s="49">
        <f>+Zal_1_WPF_wg_przeplywow!AF20</f>
        <v>0</v>
      </c>
      <c r="AG19" s="49">
        <f>+Zal_1_WPF_wg_przeplywow!AG20</f>
        <v>0</v>
      </c>
    </row>
    <row r="20" spans="1:33" ht="24" outlineLevel="3">
      <c r="A20" s="47"/>
      <c r="B20" s="54" t="s">
        <v>365</v>
      </c>
      <c r="C20" s="53">
        <f>+Zal_1_WPF_wg_przeplywow!C22</f>
        <v>190000</v>
      </c>
      <c r="D20" s="53">
        <f>+Zal_1_WPF_wg_przeplywow!D22</f>
        <v>200000</v>
      </c>
      <c r="E20" s="53">
        <f>+Zal_1_WPF_wg_przeplywow!E22</f>
        <v>0</v>
      </c>
      <c r="F20" s="53">
        <f>+Zal_1_WPF_wg_przeplywow!F22</f>
        <v>0</v>
      </c>
      <c r="G20" s="53">
        <f>+Zal_1_WPF_wg_przeplywow!G22</f>
        <v>0</v>
      </c>
      <c r="H20" s="53">
        <f>+Zal_1_WPF_wg_przeplywow!H22</f>
        <v>0</v>
      </c>
      <c r="I20" s="53">
        <f>+Zal_1_WPF_wg_przeplywow!I22</f>
        <v>0</v>
      </c>
      <c r="J20" s="53">
        <f>+Zal_1_WPF_wg_przeplywow!J22</f>
        <v>0</v>
      </c>
      <c r="K20" s="53">
        <f>+Zal_1_WPF_wg_przeplywow!K22</f>
        <v>0</v>
      </c>
      <c r="L20" s="53">
        <f>+Zal_1_WPF_wg_przeplywow!L22</f>
        <v>0</v>
      </c>
      <c r="M20" s="53">
        <f>+Zal_1_WPF_wg_przeplywow!M22</f>
        <v>0</v>
      </c>
      <c r="N20" s="53">
        <f>+Zal_1_WPF_wg_przeplywow!N22</f>
        <v>0</v>
      </c>
      <c r="O20" s="53">
        <f>+Zal_1_WPF_wg_przeplywow!O22</f>
        <v>0</v>
      </c>
      <c r="P20" s="53">
        <f>+Zal_1_WPF_wg_przeplywow!P22</f>
        <v>0</v>
      </c>
      <c r="Q20" s="53">
        <f>+Zal_1_WPF_wg_przeplywow!Q22</f>
        <v>0</v>
      </c>
      <c r="R20" s="53">
        <f>+Zal_1_WPF_wg_przeplywow!R22</f>
        <v>0</v>
      </c>
      <c r="S20" s="53">
        <f>+Zal_1_WPF_wg_przeplywow!S22</f>
        <v>0</v>
      </c>
      <c r="T20" s="53">
        <f>+Zal_1_WPF_wg_przeplywow!T22</f>
        <v>0</v>
      </c>
      <c r="U20" s="53">
        <f>+Zal_1_WPF_wg_przeplywow!U22</f>
        <v>0</v>
      </c>
      <c r="V20" s="53">
        <f>+Zal_1_WPF_wg_przeplywow!V22</f>
        <v>0</v>
      </c>
      <c r="W20" s="53">
        <f>+Zal_1_WPF_wg_przeplywow!W22</f>
        <v>0</v>
      </c>
      <c r="X20" s="53">
        <f>+Zal_1_WPF_wg_przeplywow!X22</f>
        <v>0</v>
      </c>
      <c r="Y20" s="53">
        <f>+Zal_1_WPF_wg_przeplywow!Y22</f>
        <v>0</v>
      </c>
      <c r="Z20" s="53">
        <f>+Zal_1_WPF_wg_przeplywow!Z22</f>
        <v>0</v>
      </c>
      <c r="AA20" s="53">
        <f>+Zal_1_WPF_wg_przeplywow!AA22</f>
        <v>0</v>
      </c>
      <c r="AB20" s="53">
        <f>+Zal_1_WPF_wg_przeplywow!AB22</f>
        <v>0</v>
      </c>
      <c r="AC20" s="53">
        <f>+Zal_1_WPF_wg_przeplywow!AC22</f>
        <v>0</v>
      </c>
      <c r="AD20" s="53">
        <f>+Zal_1_WPF_wg_przeplywow!AD22</f>
        <v>0</v>
      </c>
      <c r="AE20" s="53">
        <f>+Zal_1_WPF_wg_przeplywow!AE22</f>
        <v>0</v>
      </c>
      <c r="AF20" s="53">
        <f>+Zal_1_WPF_wg_przeplywow!AF22</f>
        <v>0</v>
      </c>
      <c r="AG20" s="53">
        <f>+Zal_1_WPF_wg_przeplywow!AG22</f>
        <v>0</v>
      </c>
    </row>
    <row r="21" spans="1:33" ht="14.25" outlineLevel="3">
      <c r="A21" s="47"/>
      <c r="B21" s="55" t="s">
        <v>366</v>
      </c>
      <c r="C21" s="53">
        <f>+Zal_1_WPF_wg_przeplywow!C23</f>
        <v>170050</v>
      </c>
      <c r="D21" s="53">
        <f>+Zal_1_WPF_wg_przeplywow!D23</f>
        <v>179000</v>
      </c>
      <c r="E21" s="53">
        <f>+Zal_1_WPF_wg_przeplywow!E23</f>
        <v>0</v>
      </c>
      <c r="F21" s="53">
        <f>+Zal_1_WPF_wg_przeplywow!F23</f>
        <v>0</v>
      </c>
      <c r="G21" s="53">
        <f>+Zal_1_WPF_wg_przeplywow!G23</f>
        <v>0</v>
      </c>
      <c r="H21" s="53">
        <f>+Zal_1_WPF_wg_przeplywow!H23</f>
        <v>0</v>
      </c>
      <c r="I21" s="53">
        <f>+Zal_1_WPF_wg_przeplywow!I23</f>
        <v>0</v>
      </c>
      <c r="J21" s="53">
        <f>+Zal_1_WPF_wg_przeplywow!J23</f>
        <v>0</v>
      </c>
      <c r="K21" s="53">
        <f>+Zal_1_WPF_wg_przeplywow!K23</f>
        <v>0</v>
      </c>
      <c r="L21" s="53">
        <f>+Zal_1_WPF_wg_przeplywow!L23</f>
        <v>0</v>
      </c>
      <c r="M21" s="53">
        <f>+Zal_1_WPF_wg_przeplywow!M23</f>
        <v>0</v>
      </c>
      <c r="N21" s="53">
        <f>+Zal_1_WPF_wg_przeplywow!N23</f>
        <v>0</v>
      </c>
      <c r="O21" s="53">
        <f>+Zal_1_WPF_wg_przeplywow!O23</f>
        <v>0</v>
      </c>
      <c r="P21" s="53">
        <f>+Zal_1_WPF_wg_przeplywow!P23</f>
        <v>0</v>
      </c>
      <c r="Q21" s="53">
        <f>+Zal_1_WPF_wg_przeplywow!Q23</f>
        <v>0</v>
      </c>
      <c r="R21" s="53">
        <f>+Zal_1_WPF_wg_przeplywow!R23</f>
        <v>0</v>
      </c>
      <c r="S21" s="53">
        <f>+Zal_1_WPF_wg_przeplywow!S23</f>
        <v>0</v>
      </c>
      <c r="T21" s="53">
        <f>+Zal_1_WPF_wg_przeplywow!T23</f>
        <v>0</v>
      </c>
      <c r="U21" s="53">
        <f>+Zal_1_WPF_wg_przeplywow!U23</f>
        <v>0</v>
      </c>
      <c r="V21" s="53">
        <f>+Zal_1_WPF_wg_przeplywow!V23</f>
        <v>0</v>
      </c>
      <c r="W21" s="53">
        <f>+Zal_1_WPF_wg_przeplywow!W23</f>
        <v>0</v>
      </c>
      <c r="X21" s="53">
        <f>+Zal_1_WPF_wg_przeplywow!X23</f>
        <v>0</v>
      </c>
      <c r="Y21" s="53">
        <f>+Zal_1_WPF_wg_przeplywow!Y23</f>
        <v>0</v>
      </c>
      <c r="Z21" s="53">
        <f>+Zal_1_WPF_wg_przeplywow!Z23</f>
        <v>0</v>
      </c>
      <c r="AA21" s="53">
        <f>+Zal_1_WPF_wg_przeplywow!AA23</f>
        <v>0</v>
      </c>
      <c r="AB21" s="53">
        <f>+Zal_1_WPF_wg_przeplywow!AB23</f>
        <v>0</v>
      </c>
      <c r="AC21" s="53">
        <f>+Zal_1_WPF_wg_przeplywow!AC23</f>
        <v>0</v>
      </c>
      <c r="AD21" s="53">
        <f>+Zal_1_WPF_wg_przeplywow!AD23</f>
        <v>0</v>
      </c>
      <c r="AE21" s="53">
        <f>+Zal_1_WPF_wg_przeplywow!AE23</f>
        <v>0</v>
      </c>
      <c r="AF21" s="53">
        <f>+Zal_1_WPF_wg_przeplywow!AF23</f>
        <v>0</v>
      </c>
      <c r="AG21" s="53">
        <f>+Zal_1_WPF_wg_przeplywow!AG23</f>
        <v>0</v>
      </c>
    </row>
    <row r="22" spans="1:33" ht="14.25" outlineLevel="2">
      <c r="A22" s="52"/>
      <c r="B22" s="54" t="s">
        <v>275</v>
      </c>
      <c r="C22" s="49">
        <f>+Zal_1_WPF_wg_przeplywow!C35</f>
        <v>730000</v>
      </c>
      <c r="D22" s="49">
        <f>+Zal_1_WPF_wg_przeplywow!D35</f>
        <v>610000</v>
      </c>
      <c r="E22" s="49">
        <f>+Zal_1_WPF_wg_przeplywow!E35</f>
        <v>540000</v>
      </c>
      <c r="F22" s="49">
        <f>+Zal_1_WPF_wg_przeplywow!F35</f>
        <v>500000</v>
      </c>
      <c r="G22" s="49">
        <f>+Zal_1_WPF_wg_przeplywow!G35</f>
        <v>350000</v>
      </c>
      <c r="H22" s="49">
        <f>+Zal_1_WPF_wg_przeplywow!H35</f>
        <v>250000</v>
      </c>
      <c r="I22" s="49">
        <f>+Zal_1_WPF_wg_przeplywow!I35</f>
        <v>120000</v>
      </c>
      <c r="J22" s="49">
        <f>+Zal_1_WPF_wg_przeplywow!J35</f>
        <v>216400</v>
      </c>
      <c r="K22" s="49">
        <f>+Zal_1_WPF_wg_przeplywow!K35</f>
        <v>130000</v>
      </c>
      <c r="L22" s="49">
        <f>+Zal_1_WPF_wg_przeplywow!L35</f>
        <v>120000</v>
      </c>
      <c r="M22" s="49">
        <f>+Zal_1_WPF_wg_przeplywow!M35</f>
        <v>0</v>
      </c>
      <c r="N22" s="49">
        <f>+Zal_1_WPF_wg_przeplywow!N35</f>
        <v>0</v>
      </c>
      <c r="O22" s="49">
        <f>+Zal_1_WPF_wg_przeplywow!O35</f>
        <v>0</v>
      </c>
      <c r="P22" s="49">
        <f>+Zal_1_WPF_wg_przeplywow!P35</f>
        <v>0</v>
      </c>
      <c r="Q22" s="49">
        <f>+Zal_1_WPF_wg_przeplywow!Q35</f>
        <v>0</v>
      </c>
      <c r="R22" s="49">
        <f>+Zal_1_WPF_wg_przeplywow!R35</f>
        <v>0</v>
      </c>
      <c r="S22" s="49">
        <f>+Zal_1_WPF_wg_przeplywow!S35</f>
        <v>0</v>
      </c>
      <c r="T22" s="49">
        <f>+Zal_1_WPF_wg_przeplywow!T35</f>
        <v>0</v>
      </c>
      <c r="U22" s="49">
        <f>+Zal_1_WPF_wg_przeplywow!U35</f>
        <v>0</v>
      </c>
      <c r="V22" s="49">
        <f>+Zal_1_WPF_wg_przeplywow!V35</f>
        <v>0</v>
      </c>
      <c r="W22" s="49">
        <f>+Zal_1_WPF_wg_przeplywow!W35</f>
        <v>0</v>
      </c>
      <c r="X22" s="49">
        <f>+Zal_1_WPF_wg_przeplywow!X35</f>
        <v>0</v>
      </c>
      <c r="Y22" s="49">
        <f>+Zal_1_WPF_wg_przeplywow!Y35</f>
        <v>0</v>
      </c>
      <c r="Z22" s="49">
        <f>+Zal_1_WPF_wg_przeplywow!Z35</f>
        <v>0</v>
      </c>
      <c r="AA22" s="49">
        <f>+Zal_1_WPF_wg_przeplywow!AA35</f>
        <v>0</v>
      </c>
      <c r="AB22" s="49">
        <f>+Zal_1_WPF_wg_przeplywow!AB35</f>
        <v>0</v>
      </c>
      <c r="AC22" s="49">
        <f>+Zal_1_WPF_wg_przeplywow!AC35</f>
        <v>0</v>
      </c>
      <c r="AD22" s="49">
        <f>+Zal_1_WPF_wg_przeplywow!AD35</f>
        <v>0</v>
      </c>
      <c r="AE22" s="49">
        <f>+Zal_1_WPF_wg_przeplywow!AE35</f>
        <v>0</v>
      </c>
      <c r="AF22" s="49">
        <f>+Zal_1_WPF_wg_przeplywow!AF35</f>
        <v>0</v>
      </c>
      <c r="AG22" s="49">
        <f>+Zal_1_WPF_wg_przeplywow!AG35</f>
        <v>0</v>
      </c>
    </row>
    <row r="23" spans="1:33" ht="14.25" outlineLevel="3">
      <c r="A23" s="52"/>
      <c r="B23" s="55" t="s">
        <v>368</v>
      </c>
      <c r="C23" s="49">
        <f>+Zal_1_WPF_wg_przeplywow!C36</f>
        <v>720000</v>
      </c>
      <c r="D23" s="49">
        <f>+Zal_1_WPF_wg_przeplywow!D36</f>
        <v>600000</v>
      </c>
      <c r="E23" s="49">
        <f>+Zal_1_WPF_wg_przeplywow!E36</f>
        <v>530000</v>
      </c>
      <c r="F23" s="49">
        <f>+Zal_1_WPF_wg_przeplywow!F36</f>
        <v>490000</v>
      </c>
      <c r="G23" s="49">
        <f>+Zal_1_WPF_wg_przeplywow!G36</f>
        <v>350000</v>
      </c>
      <c r="H23" s="49">
        <f>+Zal_1_WPF_wg_przeplywow!H36</f>
        <v>250000</v>
      </c>
      <c r="I23" s="49">
        <f>+Zal_1_WPF_wg_przeplywow!I36</f>
        <v>120000</v>
      </c>
      <c r="J23" s="49">
        <f>+Zal_1_WPF_wg_przeplywow!J36</f>
        <v>216400</v>
      </c>
      <c r="K23" s="49">
        <f>+Zal_1_WPF_wg_przeplywow!K36</f>
        <v>130000</v>
      </c>
      <c r="L23" s="49">
        <f>+Zal_1_WPF_wg_przeplywow!L36</f>
        <v>120000</v>
      </c>
      <c r="M23" s="49">
        <f>+Zal_1_WPF_wg_przeplywow!M36</f>
        <v>0</v>
      </c>
      <c r="N23" s="49">
        <f>+Zal_1_WPF_wg_przeplywow!N36</f>
        <v>0</v>
      </c>
      <c r="O23" s="49">
        <f>+Zal_1_WPF_wg_przeplywow!O36</f>
        <v>0</v>
      </c>
      <c r="P23" s="49">
        <f>+Zal_1_WPF_wg_przeplywow!P36</f>
        <v>0</v>
      </c>
      <c r="Q23" s="49">
        <f>+Zal_1_WPF_wg_przeplywow!Q36</f>
        <v>0</v>
      </c>
      <c r="R23" s="49">
        <f>+Zal_1_WPF_wg_przeplywow!R36</f>
        <v>0</v>
      </c>
      <c r="S23" s="49">
        <f>+Zal_1_WPF_wg_przeplywow!S36</f>
        <v>0</v>
      </c>
      <c r="T23" s="49">
        <f>+Zal_1_WPF_wg_przeplywow!T36</f>
        <v>0</v>
      </c>
      <c r="U23" s="49">
        <f>+Zal_1_WPF_wg_przeplywow!U36</f>
        <v>0</v>
      </c>
      <c r="V23" s="49">
        <f>+Zal_1_WPF_wg_przeplywow!V36</f>
        <v>0</v>
      </c>
      <c r="W23" s="49">
        <f>+Zal_1_WPF_wg_przeplywow!W36</f>
        <v>0</v>
      </c>
      <c r="X23" s="49">
        <f>+Zal_1_WPF_wg_przeplywow!X36</f>
        <v>0</v>
      </c>
      <c r="Y23" s="49">
        <f>+Zal_1_WPF_wg_przeplywow!Y36</f>
        <v>0</v>
      </c>
      <c r="Z23" s="49">
        <f>+Zal_1_WPF_wg_przeplywow!Z36</f>
        <v>0</v>
      </c>
      <c r="AA23" s="49">
        <f>+Zal_1_WPF_wg_przeplywow!AA36</f>
        <v>0</v>
      </c>
      <c r="AB23" s="49">
        <f>+Zal_1_WPF_wg_przeplywow!AB36</f>
        <v>0</v>
      </c>
      <c r="AC23" s="49">
        <f>+Zal_1_WPF_wg_przeplywow!AC36</f>
        <v>0</v>
      </c>
      <c r="AD23" s="49">
        <f>+Zal_1_WPF_wg_przeplywow!AD36</f>
        <v>0</v>
      </c>
      <c r="AE23" s="49">
        <f>+Zal_1_WPF_wg_przeplywow!AE36</f>
        <v>0</v>
      </c>
      <c r="AF23" s="49">
        <f>+Zal_1_WPF_wg_przeplywow!AF36</f>
        <v>0</v>
      </c>
      <c r="AG23" s="49">
        <f>+Zal_1_WPF_wg_przeplywow!AG36</f>
        <v>0</v>
      </c>
    </row>
    <row r="24" spans="1:33" ht="14.25" outlineLevel="1">
      <c r="A24" s="52"/>
      <c r="B24" s="48" t="s">
        <v>17</v>
      </c>
      <c r="C24" s="53">
        <f>+Zal_1_WPF_wg_przeplywow!C39</f>
        <v>4610463</v>
      </c>
      <c r="D24" s="53">
        <f>+Zal_1_WPF_wg_przeplywow!D39</f>
        <v>3211000</v>
      </c>
      <c r="E24" s="53">
        <f>+Zal_1_WPF_wg_przeplywow!E39</f>
        <v>2120000</v>
      </c>
      <c r="F24" s="53">
        <f>+Zal_1_WPF_wg_przeplywow!F39</f>
        <v>4102930</v>
      </c>
      <c r="G24" s="53">
        <f>+Zal_1_WPF_wg_przeplywow!G39</f>
        <v>1000000</v>
      </c>
      <c r="H24" s="53">
        <f>+Zal_1_WPF_wg_przeplywow!H39</f>
        <v>706476</v>
      </c>
      <c r="I24" s="53">
        <f>+Zal_1_WPF_wg_przeplywow!I39</f>
        <v>842279</v>
      </c>
      <c r="J24" s="53">
        <f>+Zal_1_WPF_wg_przeplywow!J39</f>
        <v>1610059</v>
      </c>
      <c r="K24" s="53">
        <f>+Zal_1_WPF_wg_przeplywow!K39</f>
        <v>896271</v>
      </c>
      <c r="L24" s="53">
        <f>+Zal_1_WPF_wg_przeplywow!L39</f>
        <v>2107995</v>
      </c>
      <c r="M24" s="53">
        <f>+Zal_1_WPF_wg_przeplywow!M39</f>
        <v>0</v>
      </c>
      <c r="N24" s="53">
        <f>+Zal_1_WPF_wg_przeplywow!N39</f>
        <v>0</v>
      </c>
      <c r="O24" s="53">
        <f>+Zal_1_WPF_wg_przeplywow!O39</f>
        <v>0</v>
      </c>
      <c r="P24" s="53">
        <f>+Zal_1_WPF_wg_przeplywow!P39</f>
        <v>0</v>
      </c>
      <c r="Q24" s="53">
        <f>+Zal_1_WPF_wg_przeplywow!Q39</f>
        <v>0</v>
      </c>
      <c r="R24" s="53">
        <f>+Zal_1_WPF_wg_przeplywow!R39</f>
        <v>0</v>
      </c>
      <c r="S24" s="53">
        <f>+Zal_1_WPF_wg_przeplywow!S39</f>
        <v>0</v>
      </c>
      <c r="T24" s="53">
        <f>+Zal_1_WPF_wg_przeplywow!T39</f>
        <v>0</v>
      </c>
      <c r="U24" s="53">
        <f>+Zal_1_WPF_wg_przeplywow!U39</f>
        <v>0</v>
      </c>
      <c r="V24" s="53">
        <f>+Zal_1_WPF_wg_przeplywow!V39</f>
        <v>0</v>
      </c>
      <c r="W24" s="53">
        <f>+Zal_1_WPF_wg_przeplywow!W39</f>
        <v>0</v>
      </c>
      <c r="X24" s="53">
        <f>+Zal_1_WPF_wg_przeplywow!X39</f>
        <v>0</v>
      </c>
      <c r="Y24" s="53">
        <f>+Zal_1_WPF_wg_przeplywow!Y39</f>
        <v>0</v>
      </c>
      <c r="Z24" s="53">
        <f>+Zal_1_WPF_wg_przeplywow!Z39</f>
        <v>0</v>
      </c>
      <c r="AA24" s="53">
        <f>+Zal_1_WPF_wg_przeplywow!AA39</f>
        <v>0</v>
      </c>
      <c r="AB24" s="53">
        <f>+Zal_1_WPF_wg_przeplywow!AB39</f>
        <v>0</v>
      </c>
      <c r="AC24" s="53">
        <f>+Zal_1_WPF_wg_przeplywow!AC39</f>
        <v>0</v>
      </c>
      <c r="AD24" s="53">
        <f>+Zal_1_WPF_wg_przeplywow!AD39</f>
        <v>0</v>
      </c>
      <c r="AE24" s="53">
        <f>+Zal_1_WPF_wg_przeplywow!AE39</f>
        <v>0</v>
      </c>
      <c r="AF24" s="53">
        <f>+Zal_1_WPF_wg_przeplywow!AF39</f>
        <v>0</v>
      </c>
      <c r="AG24" s="53">
        <f>+Zal_1_WPF_wg_przeplywow!AG39</f>
        <v>0</v>
      </c>
    </row>
    <row r="25" spans="1:33" ht="24" outlineLevel="2">
      <c r="A25" s="52"/>
      <c r="B25" s="50" t="s">
        <v>365</v>
      </c>
      <c r="C25" s="53">
        <f>+Zal_1_WPF_wg_przeplywow!C41</f>
        <v>2838757</v>
      </c>
      <c r="D25" s="53">
        <f>+Zal_1_WPF_wg_przeplywow!D41</f>
        <v>3017107</v>
      </c>
      <c r="E25" s="53">
        <f>+Zal_1_WPF_wg_przeplywow!E41</f>
        <v>2120000</v>
      </c>
      <c r="F25" s="53">
        <f>+Zal_1_WPF_wg_przeplywow!F41</f>
        <v>4102930</v>
      </c>
      <c r="G25" s="53">
        <f>+Zal_1_WPF_wg_przeplywow!G41</f>
        <v>1000000</v>
      </c>
      <c r="H25" s="53">
        <f>+Zal_1_WPF_wg_przeplywow!H41</f>
        <v>0</v>
      </c>
      <c r="I25" s="53">
        <f>+Zal_1_WPF_wg_przeplywow!I41</f>
        <v>0</v>
      </c>
      <c r="J25" s="53">
        <f>+Zal_1_WPF_wg_przeplywow!J41</f>
        <v>0</v>
      </c>
      <c r="K25" s="53">
        <f>+Zal_1_WPF_wg_przeplywow!K41</f>
        <v>0</v>
      </c>
      <c r="L25" s="53">
        <f>+Zal_1_WPF_wg_przeplywow!L41</f>
        <v>0</v>
      </c>
      <c r="M25" s="53">
        <f>+Zal_1_WPF_wg_przeplywow!M41</f>
        <v>0</v>
      </c>
      <c r="N25" s="53">
        <f>+Zal_1_WPF_wg_przeplywow!N41</f>
        <v>0</v>
      </c>
      <c r="O25" s="53">
        <f>+Zal_1_WPF_wg_przeplywow!O41</f>
        <v>0</v>
      </c>
      <c r="P25" s="53">
        <f>+Zal_1_WPF_wg_przeplywow!P41</f>
        <v>0</v>
      </c>
      <c r="Q25" s="53">
        <f>+Zal_1_WPF_wg_przeplywow!Q41</f>
        <v>0</v>
      </c>
      <c r="R25" s="53">
        <f>+Zal_1_WPF_wg_przeplywow!R41</f>
        <v>0</v>
      </c>
      <c r="S25" s="53">
        <f>+Zal_1_WPF_wg_przeplywow!S41</f>
        <v>0</v>
      </c>
      <c r="T25" s="53">
        <f>+Zal_1_WPF_wg_przeplywow!T41</f>
        <v>0</v>
      </c>
      <c r="U25" s="53">
        <f>+Zal_1_WPF_wg_przeplywow!U41</f>
        <v>0</v>
      </c>
      <c r="V25" s="53">
        <f>+Zal_1_WPF_wg_przeplywow!V41</f>
        <v>0</v>
      </c>
      <c r="W25" s="53">
        <f>+Zal_1_WPF_wg_przeplywow!W41</f>
        <v>0</v>
      </c>
      <c r="X25" s="53">
        <f>+Zal_1_WPF_wg_przeplywow!X41</f>
        <v>0</v>
      </c>
      <c r="Y25" s="53">
        <f>+Zal_1_WPF_wg_przeplywow!Y41</f>
        <v>0</v>
      </c>
      <c r="Z25" s="53">
        <f>+Zal_1_WPF_wg_przeplywow!Z41</f>
        <v>0</v>
      </c>
      <c r="AA25" s="53">
        <f>+Zal_1_WPF_wg_przeplywow!AA41</f>
        <v>0</v>
      </c>
      <c r="AB25" s="53">
        <f>+Zal_1_WPF_wg_przeplywow!AB41</f>
        <v>0</v>
      </c>
      <c r="AC25" s="53">
        <f>+Zal_1_WPF_wg_przeplywow!AC41</f>
        <v>0</v>
      </c>
      <c r="AD25" s="53">
        <f>+Zal_1_WPF_wg_przeplywow!AD41</f>
        <v>0</v>
      </c>
      <c r="AE25" s="53">
        <f>+Zal_1_WPF_wg_przeplywow!AE41</f>
        <v>0</v>
      </c>
      <c r="AF25" s="53">
        <f>+Zal_1_WPF_wg_przeplywow!AF41</f>
        <v>0</v>
      </c>
      <c r="AG25" s="53">
        <f>+Zal_1_WPF_wg_przeplywow!AG41</f>
        <v>0</v>
      </c>
    </row>
    <row r="26" spans="1:33" ht="14.25" outlineLevel="2">
      <c r="A26" s="65"/>
      <c r="B26" s="252" t="s">
        <v>366</v>
      </c>
      <c r="C26" s="66">
        <f>+Zal_1_WPF_wg_przeplywow!C42</f>
        <v>1452017</v>
      </c>
      <c r="D26" s="66">
        <f>+Zal_1_WPF_wg_przeplywow!D42</f>
        <v>668828</v>
      </c>
      <c r="E26" s="66">
        <f>+Zal_1_WPF_wg_przeplywow!E42</f>
        <v>490000</v>
      </c>
      <c r="F26" s="66">
        <f>+Zal_1_WPF_wg_przeplywow!F42</f>
        <v>1934394</v>
      </c>
      <c r="G26" s="66">
        <f>+Zal_1_WPF_wg_przeplywow!G42</f>
        <v>510000</v>
      </c>
      <c r="H26" s="66">
        <f>+Zal_1_WPF_wg_przeplywow!H42</f>
        <v>0</v>
      </c>
      <c r="I26" s="66">
        <f>+Zal_1_WPF_wg_przeplywow!I42</f>
        <v>0</v>
      </c>
      <c r="J26" s="66">
        <f>+Zal_1_WPF_wg_przeplywow!J42</f>
        <v>0</v>
      </c>
      <c r="K26" s="66">
        <f>+Zal_1_WPF_wg_przeplywow!K42</f>
        <v>0</v>
      </c>
      <c r="L26" s="66">
        <f>+Zal_1_WPF_wg_przeplywow!L42</f>
        <v>0</v>
      </c>
      <c r="M26" s="66">
        <f>+Zal_1_WPF_wg_przeplywow!M42</f>
        <v>0</v>
      </c>
      <c r="N26" s="66">
        <f>+Zal_1_WPF_wg_przeplywow!N42</f>
        <v>0</v>
      </c>
      <c r="O26" s="66">
        <f>+Zal_1_WPF_wg_przeplywow!O42</f>
        <v>0</v>
      </c>
      <c r="P26" s="66">
        <f>+Zal_1_WPF_wg_przeplywow!P42</f>
        <v>0</v>
      </c>
      <c r="Q26" s="66">
        <f>+Zal_1_WPF_wg_przeplywow!Q42</f>
        <v>0</v>
      </c>
      <c r="R26" s="66">
        <f>+Zal_1_WPF_wg_przeplywow!R42</f>
        <v>0</v>
      </c>
      <c r="S26" s="66">
        <f>+Zal_1_WPF_wg_przeplywow!S42</f>
        <v>0</v>
      </c>
      <c r="T26" s="66">
        <f>+Zal_1_WPF_wg_przeplywow!T42</f>
        <v>0</v>
      </c>
      <c r="U26" s="66">
        <f>+Zal_1_WPF_wg_przeplywow!U42</f>
        <v>0</v>
      </c>
      <c r="V26" s="66">
        <f>+Zal_1_WPF_wg_przeplywow!V42</f>
        <v>0</v>
      </c>
      <c r="W26" s="66">
        <f>+Zal_1_WPF_wg_przeplywow!W42</f>
        <v>0</v>
      </c>
      <c r="X26" s="66">
        <f>+Zal_1_WPF_wg_przeplywow!X42</f>
        <v>0</v>
      </c>
      <c r="Y26" s="66">
        <f>+Zal_1_WPF_wg_przeplywow!Y42</f>
        <v>0</v>
      </c>
      <c r="Z26" s="66">
        <f>+Zal_1_WPF_wg_przeplywow!Z42</f>
        <v>0</v>
      </c>
      <c r="AA26" s="66">
        <f>+Zal_1_WPF_wg_przeplywow!AA42</f>
        <v>0</v>
      </c>
      <c r="AB26" s="66">
        <f>+Zal_1_WPF_wg_przeplywow!AB42</f>
        <v>0</v>
      </c>
      <c r="AC26" s="66">
        <f>+Zal_1_WPF_wg_przeplywow!AC42</f>
        <v>0</v>
      </c>
      <c r="AD26" s="66">
        <f>+Zal_1_WPF_wg_przeplywow!AD42</f>
        <v>0</v>
      </c>
      <c r="AE26" s="66">
        <f>+Zal_1_WPF_wg_przeplywow!AE42</f>
        <v>0</v>
      </c>
      <c r="AF26" s="66">
        <f>+Zal_1_WPF_wg_przeplywow!AF42</f>
        <v>0</v>
      </c>
      <c r="AG26" s="66">
        <f>+Zal_1_WPF_wg_przeplywow!AG42</f>
        <v>0</v>
      </c>
    </row>
    <row r="27" spans="1:33" ht="14.25">
      <c r="A27" s="40" t="s">
        <v>6</v>
      </c>
      <c r="B27" s="41" t="s">
        <v>47</v>
      </c>
      <c r="C27" s="36">
        <f>+Zal_1_WPF_wg_przeplywow!C77</f>
        <v>630600</v>
      </c>
      <c r="D27" s="36">
        <f>+Zal_1_WPF_wg_przeplywow!D77</f>
        <v>374626</v>
      </c>
      <c r="E27" s="36">
        <f>+Zal_1_WPF_wg_przeplywow!E77</f>
        <v>411266</v>
      </c>
      <c r="F27" s="36">
        <f>+Zal_1_WPF_wg_przeplywow!F77</f>
        <v>438297</v>
      </c>
      <c r="G27" s="36">
        <f>+Zal_1_WPF_wg_przeplywow!G77</f>
        <v>1694000</v>
      </c>
      <c r="H27" s="36">
        <f>+Zal_1_WPF_wg_przeplywow!H77</f>
        <v>1950000</v>
      </c>
      <c r="I27" s="36">
        <f>+Zal_1_WPF_wg_przeplywow!I77</f>
        <v>2450000</v>
      </c>
      <c r="J27" s="36">
        <f>+Zal_1_WPF_wg_przeplywow!J77</f>
        <v>500000</v>
      </c>
      <c r="K27" s="36">
        <f>+Zal_1_WPF_wg_przeplywow!K77</f>
        <v>2566576</v>
      </c>
      <c r="L27" s="36">
        <f>+Zal_1_WPF_wg_przeplywow!L77</f>
        <v>1693635</v>
      </c>
      <c r="M27" s="36">
        <f>+Zal_1_WPF_wg_przeplywow!M77</f>
        <v>0</v>
      </c>
      <c r="N27" s="36">
        <f>+Zal_1_WPF_wg_przeplywow!N77</f>
        <v>0</v>
      </c>
      <c r="O27" s="36">
        <f>+Zal_1_WPF_wg_przeplywow!O77</f>
        <v>0</v>
      </c>
      <c r="P27" s="36">
        <f>+Zal_1_WPF_wg_przeplywow!P77</f>
        <v>0</v>
      </c>
      <c r="Q27" s="36">
        <f>+Zal_1_WPF_wg_przeplywow!Q77</f>
        <v>0</v>
      </c>
      <c r="R27" s="36">
        <f>+Zal_1_WPF_wg_przeplywow!R77</f>
        <v>0</v>
      </c>
      <c r="S27" s="36">
        <f>+Zal_1_WPF_wg_przeplywow!S77</f>
        <v>0</v>
      </c>
      <c r="T27" s="36">
        <f>+Zal_1_WPF_wg_przeplywow!T77</f>
        <v>0</v>
      </c>
      <c r="U27" s="36">
        <f>+Zal_1_WPF_wg_przeplywow!U77</f>
        <v>0</v>
      </c>
      <c r="V27" s="36">
        <f>+Zal_1_WPF_wg_przeplywow!V77</f>
        <v>0</v>
      </c>
      <c r="W27" s="36">
        <f>+Zal_1_WPF_wg_przeplywow!W77</f>
        <v>0</v>
      </c>
      <c r="X27" s="36">
        <f>+Zal_1_WPF_wg_przeplywow!X77</f>
        <v>0</v>
      </c>
      <c r="Y27" s="36">
        <f>+Zal_1_WPF_wg_przeplywow!Y77</f>
        <v>0</v>
      </c>
      <c r="Z27" s="36">
        <f>+Zal_1_WPF_wg_przeplywow!Z77</f>
        <v>0</v>
      </c>
      <c r="AA27" s="36">
        <f>+Zal_1_WPF_wg_przeplywow!AA77</f>
        <v>0</v>
      </c>
      <c r="AB27" s="36">
        <f>+Zal_1_WPF_wg_przeplywow!AB77</f>
        <v>0</v>
      </c>
      <c r="AC27" s="36">
        <f>+Zal_1_WPF_wg_przeplywow!AC77</f>
        <v>0</v>
      </c>
      <c r="AD27" s="36">
        <f>+Zal_1_WPF_wg_przeplywow!AD77</f>
        <v>0</v>
      </c>
      <c r="AE27" s="36">
        <f>+Zal_1_WPF_wg_przeplywow!AE77</f>
        <v>0</v>
      </c>
      <c r="AF27" s="36">
        <f>+Zal_1_WPF_wg_przeplywow!AF77</f>
        <v>0</v>
      </c>
      <c r="AG27" s="36">
        <f>+Zal_1_WPF_wg_przeplywow!AG77</f>
        <v>0</v>
      </c>
    </row>
    <row r="28" spans="1:255" s="29" customFormat="1" ht="14.25" outlineLevel="1">
      <c r="A28" s="134" t="s">
        <v>7</v>
      </c>
      <c r="B28" s="135" t="s">
        <v>48</v>
      </c>
      <c r="C28" s="46">
        <f>+Zal_1_WPF_wg_przeplywow!C74</f>
        <v>3539046</v>
      </c>
      <c r="D28" s="46">
        <f>+Zal_1_WPF_wg_przeplywow!D74</f>
        <v>2916798</v>
      </c>
      <c r="E28" s="46">
        <f>+Zal_1_WPF_wg_przeplywow!E74</f>
        <v>2021266</v>
      </c>
      <c r="F28" s="46">
        <f>+Zal_1_WPF_wg_przeplywow!F74</f>
        <v>2606833</v>
      </c>
      <c r="G28" s="46">
        <f>+Zal_1_WPF_wg_przeplywow!G74</f>
        <v>2184000</v>
      </c>
      <c r="H28" s="46">
        <f>+Zal_1_WPF_wg_przeplywow!H74</f>
        <v>2656476</v>
      </c>
      <c r="I28" s="46">
        <f>+Zal_1_WPF_wg_przeplywow!I74</f>
        <v>3292279</v>
      </c>
      <c r="J28" s="46">
        <f>+Zal_1_WPF_wg_przeplywow!J74</f>
        <v>2110059</v>
      </c>
      <c r="K28" s="46">
        <f>+Zal_1_WPF_wg_przeplywow!K74</f>
        <v>3462847</v>
      </c>
      <c r="L28" s="46">
        <f>+Zal_1_WPF_wg_przeplywow!L74</f>
        <v>3801630</v>
      </c>
      <c r="M28" s="46">
        <f>+Zal_1_WPF_wg_przeplywow!M74</f>
        <v>0</v>
      </c>
      <c r="N28" s="46">
        <f>+Zal_1_WPF_wg_przeplywow!N74</f>
        <v>0</v>
      </c>
      <c r="O28" s="46">
        <f>+Zal_1_WPF_wg_przeplywow!O74</f>
        <v>0</v>
      </c>
      <c r="P28" s="46">
        <f>+Zal_1_WPF_wg_przeplywow!P74</f>
        <v>0</v>
      </c>
      <c r="Q28" s="46">
        <f>+Zal_1_WPF_wg_przeplywow!Q74</f>
        <v>0</v>
      </c>
      <c r="R28" s="46">
        <f>+Zal_1_WPF_wg_przeplywow!R74</f>
        <v>0</v>
      </c>
      <c r="S28" s="46">
        <f>+Zal_1_WPF_wg_przeplywow!S74</f>
        <v>0</v>
      </c>
      <c r="T28" s="46">
        <f>+Zal_1_WPF_wg_przeplywow!T74</f>
        <v>0</v>
      </c>
      <c r="U28" s="46">
        <f>+Zal_1_WPF_wg_przeplywow!U74</f>
        <v>0</v>
      </c>
      <c r="V28" s="46">
        <f>+Zal_1_WPF_wg_przeplywow!V74</f>
        <v>0</v>
      </c>
      <c r="W28" s="46">
        <f>+Zal_1_WPF_wg_przeplywow!W74</f>
        <v>0</v>
      </c>
      <c r="X28" s="46">
        <f>+Zal_1_WPF_wg_przeplywow!X74</f>
        <v>0</v>
      </c>
      <c r="Y28" s="46">
        <f>+Zal_1_WPF_wg_przeplywow!Y74</f>
        <v>0</v>
      </c>
      <c r="Z28" s="46">
        <f>+Zal_1_WPF_wg_przeplywow!Z74</f>
        <v>0</v>
      </c>
      <c r="AA28" s="46">
        <f>+Zal_1_WPF_wg_przeplywow!AA74</f>
        <v>0</v>
      </c>
      <c r="AB28" s="46">
        <f>+Zal_1_WPF_wg_przeplywow!AB74</f>
        <v>0</v>
      </c>
      <c r="AC28" s="46">
        <f>+Zal_1_WPF_wg_przeplywow!AC74</f>
        <v>0</v>
      </c>
      <c r="AD28" s="46">
        <f>+Zal_1_WPF_wg_przeplywow!AD74</f>
        <v>0</v>
      </c>
      <c r="AE28" s="46">
        <f>+Zal_1_WPF_wg_przeplywow!AE74</f>
        <v>0</v>
      </c>
      <c r="AF28" s="46">
        <f>+Zal_1_WPF_wg_przeplywow!AF74</f>
        <v>0</v>
      </c>
      <c r="AG28" s="46">
        <f>+Zal_1_WPF_wg_przeplywow!AG74</f>
        <v>0</v>
      </c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s="29" customFormat="1" ht="14.25" outlineLevel="1">
      <c r="A29" s="136"/>
      <c r="B29" s="137" t="s">
        <v>162</v>
      </c>
      <c r="C29" s="66">
        <f>+C10-C24</f>
        <v>-2908446</v>
      </c>
      <c r="D29" s="66">
        <f aca="true" t="shared" si="0" ref="D29:AG29">+D10-D24</f>
        <v>-2542172</v>
      </c>
      <c r="E29" s="66">
        <f t="shared" si="0"/>
        <v>-1610000</v>
      </c>
      <c r="F29" s="66">
        <f t="shared" si="0"/>
        <v>-2168536</v>
      </c>
      <c r="G29" s="66">
        <f t="shared" si="0"/>
        <v>-490000</v>
      </c>
      <c r="H29" s="66">
        <f t="shared" si="0"/>
        <v>-706476</v>
      </c>
      <c r="I29" s="66">
        <f t="shared" si="0"/>
        <v>-842279</v>
      </c>
      <c r="J29" s="66">
        <f t="shared" si="0"/>
        <v>-1610059</v>
      </c>
      <c r="K29" s="66">
        <f t="shared" si="0"/>
        <v>-896271</v>
      </c>
      <c r="L29" s="66">
        <f t="shared" si="0"/>
        <v>-2107995</v>
      </c>
      <c r="M29" s="66">
        <f t="shared" si="0"/>
        <v>0</v>
      </c>
      <c r="N29" s="66">
        <f t="shared" si="0"/>
        <v>0</v>
      </c>
      <c r="O29" s="66">
        <f t="shared" si="0"/>
        <v>0</v>
      </c>
      <c r="P29" s="66">
        <f t="shared" si="0"/>
        <v>0</v>
      </c>
      <c r="Q29" s="66">
        <f t="shared" si="0"/>
        <v>0</v>
      </c>
      <c r="R29" s="66">
        <f t="shared" si="0"/>
        <v>0</v>
      </c>
      <c r="S29" s="66">
        <f t="shared" si="0"/>
        <v>0</v>
      </c>
      <c r="T29" s="66">
        <f t="shared" si="0"/>
        <v>0</v>
      </c>
      <c r="U29" s="66">
        <f t="shared" si="0"/>
        <v>0</v>
      </c>
      <c r="V29" s="66">
        <f t="shared" si="0"/>
        <v>0</v>
      </c>
      <c r="W29" s="66">
        <f t="shared" si="0"/>
        <v>0</v>
      </c>
      <c r="X29" s="66">
        <f t="shared" si="0"/>
        <v>0</v>
      </c>
      <c r="Y29" s="66">
        <f t="shared" si="0"/>
        <v>0</v>
      </c>
      <c r="Z29" s="66">
        <f t="shared" si="0"/>
        <v>0</v>
      </c>
      <c r="AA29" s="66">
        <f t="shared" si="0"/>
        <v>0</v>
      </c>
      <c r="AB29" s="66">
        <f t="shared" si="0"/>
        <v>0</v>
      </c>
      <c r="AC29" s="66">
        <f t="shared" si="0"/>
        <v>0</v>
      </c>
      <c r="AD29" s="66">
        <f t="shared" si="0"/>
        <v>0</v>
      </c>
      <c r="AE29" s="66">
        <f t="shared" si="0"/>
        <v>0</v>
      </c>
      <c r="AF29" s="66">
        <f t="shared" si="0"/>
        <v>0</v>
      </c>
      <c r="AG29" s="66">
        <f t="shared" si="0"/>
        <v>0</v>
      </c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33" ht="14.25">
      <c r="A30" s="44" t="s">
        <v>8</v>
      </c>
      <c r="B30" s="45" t="s">
        <v>49</v>
      </c>
      <c r="C30" s="46">
        <f>+Zal_1_WPF_wg_przeplywow!C78</f>
        <v>3040000</v>
      </c>
      <c r="D30" s="46">
        <f>+Zal_1_WPF_wg_przeplywow!D78</f>
        <v>406374</v>
      </c>
      <c r="E30" s="46">
        <f>+Zal_1_WPF_wg_przeplywow!E78</f>
        <v>985634</v>
      </c>
      <c r="F30" s="46">
        <f>+Zal_1_WPF_wg_przeplywow!F78</f>
        <v>1061703</v>
      </c>
      <c r="G30" s="46">
        <f>+Zal_1_WPF_wg_przeplywow!G78</f>
        <v>0</v>
      </c>
      <c r="H30" s="46">
        <f>+Zal_1_WPF_wg_przeplywow!H78</f>
        <v>0</v>
      </c>
      <c r="I30" s="46">
        <f>+Zal_1_WPF_wg_przeplywow!I78</f>
        <v>0</v>
      </c>
      <c r="J30" s="46">
        <f>+Zal_1_WPF_wg_przeplywow!J78</f>
        <v>0</v>
      </c>
      <c r="K30" s="46">
        <f>+Zal_1_WPF_wg_przeplywow!K78</f>
        <v>0</v>
      </c>
      <c r="L30" s="46">
        <f>+Zal_1_WPF_wg_przeplywow!L78</f>
        <v>0</v>
      </c>
      <c r="M30" s="46">
        <f>+Zal_1_WPF_wg_przeplywow!M78</f>
        <v>0</v>
      </c>
      <c r="N30" s="46">
        <f>+Zal_1_WPF_wg_przeplywow!N78</f>
        <v>0</v>
      </c>
      <c r="O30" s="46">
        <f>+Zal_1_WPF_wg_przeplywow!O78</f>
        <v>0</v>
      </c>
      <c r="P30" s="46">
        <f>+Zal_1_WPF_wg_przeplywow!P78</f>
        <v>0</v>
      </c>
      <c r="Q30" s="46">
        <f>+Zal_1_WPF_wg_przeplywow!Q78</f>
        <v>0</v>
      </c>
      <c r="R30" s="46">
        <f>+Zal_1_WPF_wg_przeplywow!R78</f>
        <v>0</v>
      </c>
      <c r="S30" s="46">
        <f>+Zal_1_WPF_wg_przeplywow!S78</f>
        <v>0</v>
      </c>
      <c r="T30" s="46">
        <f>+Zal_1_WPF_wg_przeplywow!T78</f>
        <v>0</v>
      </c>
      <c r="U30" s="46">
        <f>+Zal_1_WPF_wg_przeplywow!U78</f>
        <v>0</v>
      </c>
      <c r="V30" s="46">
        <f>+Zal_1_WPF_wg_przeplywow!V78</f>
        <v>0</v>
      </c>
      <c r="W30" s="46">
        <f>+Zal_1_WPF_wg_przeplywow!W78</f>
        <v>0</v>
      </c>
      <c r="X30" s="46">
        <f>+Zal_1_WPF_wg_przeplywow!X78</f>
        <v>0</v>
      </c>
      <c r="Y30" s="46">
        <f>+Zal_1_WPF_wg_przeplywow!Y78</f>
        <v>0</v>
      </c>
      <c r="Z30" s="46">
        <f>+Zal_1_WPF_wg_przeplywow!Z78</f>
        <v>0</v>
      </c>
      <c r="AA30" s="46">
        <f>+Zal_1_WPF_wg_przeplywow!AA78</f>
        <v>0</v>
      </c>
      <c r="AB30" s="46">
        <f>+Zal_1_WPF_wg_przeplywow!AB78</f>
        <v>0</v>
      </c>
      <c r="AC30" s="46">
        <f>+Zal_1_WPF_wg_przeplywow!AC78</f>
        <v>0</v>
      </c>
      <c r="AD30" s="46">
        <f>+Zal_1_WPF_wg_przeplywow!AD78</f>
        <v>0</v>
      </c>
      <c r="AE30" s="46">
        <f>+Zal_1_WPF_wg_przeplywow!AE78</f>
        <v>0</v>
      </c>
      <c r="AF30" s="46">
        <f>+Zal_1_WPF_wg_przeplywow!AF78</f>
        <v>0</v>
      </c>
      <c r="AG30" s="46">
        <f>+Zal_1_WPF_wg_przeplywow!AG78</f>
        <v>0</v>
      </c>
    </row>
    <row r="31" spans="1:33" ht="24" outlineLevel="1">
      <c r="A31" s="47"/>
      <c r="B31" s="48" t="s">
        <v>272</v>
      </c>
      <c r="C31" s="53">
        <f>+Zal_1_WPF_wg_przeplywow!C25</f>
        <v>0</v>
      </c>
      <c r="D31" s="53">
        <f>+Zal_1_WPF_wg_przeplywow!D25</f>
        <v>0</v>
      </c>
      <c r="E31" s="53">
        <f>+Zal_1_WPF_wg_przeplywow!E25</f>
        <v>0</v>
      </c>
      <c r="F31" s="53">
        <f>+Zal_1_WPF_wg_przeplywow!F25</f>
        <v>0</v>
      </c>
      <c r="G31" s="53">
        <f>+Zal_1_WPF_wg_przeplywow!G25</f>
        <v>0</v>
      </c>
      <c r="H31" s="53">
        <f>+Zal_1_WPF_wg_przeplywow!H25</f>
        <v>0</v>
      </c>
      <c r="I31" s="53">
        <f>+Zal_1_WPF_wg_przeplywow!I25</f>
        <v>0</v>
      </c>
      <c r="J31" s="53">
        <f>+Zal_1_WPF_wg_przeplywow!J25</f>
        <v>0</v>
      </c>
      <c r="K31" s="53">
        <f>+Zal_1_WPF_wg_przeplywow!K25</f>
        <v>0</v>
      </c>
      <c r="L31" s="53">
        <f>+Zal_1_WPF_wg_przeplywow!L25</f>
        <v>0</v>
      </c>
      <c r="M31" s="53">
        <f>+Zal_1_WPF_wg_przeplywow!M25</f>
        <v>0</v>
      </c>
      <c r="N31" s="53">
        <f>+Zal_1_WPF_wg_przeplywow!N25</f>
        <v>0</v>
      </c>
      <c r="O31" s="53">
        <f>+Zal_1_WPF_wg_przeplywow!O25</f>
        <v>0</v>
      </c>
      <c r="P31" s="53">
        <f>+Zal_1_WPF_wg_przeplywow!P25</f>
        <v>0</v>
      </c>
      <c r="Q31" s="53">
        <f>+Zal_1_WPF_wg_przeplywow!Q25</f>
        <v>0</v>
      </c>
      <c r="R31" s="53">
        <f>+Zal_1_WPF_wg_przeplywow!R25</f>
        <v>0</v>
      </c>
      <c r="S31" s="53">
        <f>+Zal_1_WPF_wg_przeplywow!S25</f>
        <v>0</v>
      </c>
      <c r="T31" s="53">
        <f>+Zal_1_WPF_wg_przeplywow!T25</f>
        <v>0</v>
      </c>
      <c r="U31" s="53">
        <f>+Zal_1_WPF_wg_przeplywow!U25</f>
        <v>0</v>
      </c>
      <c r="V31" s="53">
        <f>+Zal_1_WPF_wg_przeplywow!V25</f>
        <v>0</v>
      </c>
      <c r="W31" s="53">
        <f>+Zal_1_WPF_wg_przeplywow!W25</f>
        <v>0</v>
      </c>
      <c r="X31" s="53">
        <f>+Zal_1_WPF_wg_przeplywow!X25</f>
        <v>0</v>
      </c>
      <c r="Y31" s="53">
        <f>+Zal_1_WPF_wg_przeplywow!Y25</f>
        <v>0</v>
      </c>
      <c r="Z31" s="53">
        <f>+Zal_1_WPF_wg_przeplywow!Z25</f>
        <v>0</v>
      </c>
      <c r="AA31" s="53">
        <f>+Zal_1_WPF_wg_przeplywow!AA25</f>
        <v>0</v>
      </c>
      <c r="AB31" s="53">
        <f>+Zal_1_WPF_wg_przeplywow!AB25</f>
        <v>0</v>
      </c>
      <c r="AC31" s="53">
        <f>+Zal_1_WPF_wg_przeplywow!AC25</f>
        <v>0</v>
      </c>
      <c r="AD31" s="53">
        <f>+Zal_1_WPF_wg_przeplywow!AD25</f>
        <v>0</v>
      </c>
      <c r="AE31" s="53">
        <f>+Zal_1_WPF_wg_przeplywow!AE25</f>
        <v>0</v>
      </c>
      <c r="AF31" s="53">
        <f>+Zal_1_WPF_wg_przeplywow!AF25</f>
        <v>0</v>
      </c>
      <c r="AG31" s="53">
        <f>+Zal_1_WPF_wg_przeplywow!AG25</f>
        <v>0</v>
      </c>
    </row>
    <row r="32" spans="1:33" ht="14.25" outlineLevel="2">
      <c r="A32" s="47"/>
      <c r="B32" s="56" t="s">
        <v>61</v>
      </c>
      <c r="C32" s="49">
        <f>+Zal_1_WPF_wg_przeplywow!C26</f>
        <v>0</v>
      </c>
      <c r="D32" s="49">
        <f>+Zal_1_WPF_wg_przeplywow!D26</f>
        <v>0</v>
      </c>
      <c r="E32" s="49">
        <f>+Zal_1_WPF_wg_przeplywow!E26</f>
        <v>0</v>
      </c>
      <c r="F32" s="49">
        <f>+Zal_1_WPF_wg_przeplywow!F26</f>
        <v>0</v>
      </c>
      <c r="G32" s="49">
        <f>+Zal_1_WPF_wg_przeplywow!G26</f>
        <v>0</v>
      </c>
      <c r="H32" s="49">
        <f>+Zal_1_WPF_wg_przeplywow!H26</f>
        <v>0</v>
      </c>
      <c r="I32" s="49">
        <f>+Zal_1_WPF_wg_przeplywow!I26</f>
        <v>0</v>
      </c>
      <c r="J32" s="49">
        <f>+Zal_1_WPF_wg_przeplywow!J26</f>
        <v>0</v>
      </c>
      <c r="K32" s="49">
        <f>+Zal_1_WPF_wg_przeplywow!K26</f>
        <v>0</v>
      </c>
      <c r="L32" s="49">
        <f>+Zal_1_WPF_wg_przeplywow!L26</f>
        <v>0</v>
      </c>
      <c r="M32" s="49">
        <f>+Zal_1_WPF_wg_przeplywow!M26</f>
        <v>0</v>
      </c>
      <c r="N32" s="49">
        <f>+Zal_1_WPF_wg_przeplywow!N26</f>
        <v>0</v>
      </c>
      <c r="O32" s="49">
        <f>+Zal_1_WPF_wg_przeplywow!O26</f>
        <v>0</v>
      </c>
      <c r="P32" s="49">
        <f>+Zal_1_WPF_wg_przeplywow!P26</f>
        <v>0</v>
      </c>
      <c r="Q32" s="49">
        <f>+Zal_1_WPF_wg_przeplywow!Q26</f>
        <v>0</v>
      </c>
      <c r="R32" s="49">
        <f>+Zal_1_WPF_wg_przeplywow!R26</f>
        <v>0</v>
      </c>
      <c r="S32" s="49">
        <f>+Zal_1_WPF_wg_przeplywow!S26</f>
        <v>0</v>
      </c>
      <c r="T32" s="49">
        <f>+Zal_1_WPF_wg_przeplywow!T26</f>
        <v>0</v>
      </c>
      <c r="U32" s="49">
        <f>+Zal_1_WPF_wg_przeplywow!U26</f>
        <v>0</v>
      </c>
      <c r="V32" s="49">
        <f>+Zal_1_WPF_wg_przeplywow!V26</f>
        <v>0</v>
      </c>
      <c r="W32" s="49">
        <f>+Zal_1_WPF_wg_przeplywow!W26</f>
        <v>0</v>
      </c>
      <c r="X32" s="49">
        <f>+Zal_1_WPF_wg_przeplywow!X26</f>
        <v>0</v>
      </c>
      <c r="Y32" s="49">
        <f>+Zal_1_WPF_wg_przeplywow!Y26</f>
        <v>0</v>
      </c>
      <c r="Z32" s="49">
        <f>+Zal_1_WPF_wg_przeplywow!Z26</f>
        <v>0</v>
      </c>
      <c r="AA32" s="49">
        <f>+Zal_1_WPF_wg_przeplywow!AA26</f>
        <v>0</v>
      </c>
      <c r="AB32" s="49">
        <f>+Zal_1_WPF_wg_przeplywow!AB26</f>
        <v>0</v>
      </c>
      <c r="AC32" s="49">
        <f>+Zal_1_WPF_wg_przeplywow!AC26</f>
        <v>0</v>
      </c>
      <c r="AD32" s="49">
        <f>+Zal_1_WPF_wg_przeplywow!AD26</f>
        <v>0</v>
      </c>
      <c r="AE32" s="49">
        <f>+Zal_1_WPF_wg_przeplywow!AE26</f>
        <v>0</v>
      </c>
      <c r="AF32" s="49">
        <f>+Zal_1_WPF_wg_przeplywow!AF26</f>
        <v>0</v>
      </c>
      <c r="AG32" s="49">
        <f>+Zal_1_WPF_wg_przeplywow!AG26</f>
        <v>0</v>
      </c>
    </row>
    <row r="33" spans="1:33" ht="24" outlineLevel="2">
      <c r="A33" s="47"/>
      <c r="B33" s="238" t="s">
        <v>369</v>
      </c>
      <c r="C33" s="49">
        <f>+Zal_1_WPF_wg_przeplywow!C27</f>
        <v>0</v>
      </c>
      <c r="D33" s="49">
        <f>+Zal_1_WPF_wg_przeplywow!D27</f>
        <v>0</v>
      </c>
      <c r="E33" s="49">
        <f>+Zal_1_WPF_wg_przeplywow!E27</f>
        <v>0</v>
      </c>
      <c r="F33" s="49">
        <f>+Zal_1_WPF_wg_przeplywow!F27</f>
        <v>0</v>
      </c>
      <c r="G33" s="49">
        <f>+Zal_1_WPF_wg_przeplywow!G27</f>
        <v>0</v>
      </c>
      <c r="H33" s="49">
        <f>+Zal_1_WPF_wg_przeplywow!H27</f>
        <v>0</v>
      </c>
      <c r="I33" s="49">
        <f>+Zal_1_WPF_wg_przeplywow!I27</f>
        <v>0</v>
      </c>
      <c r="J33" s="49">
        <f>+Zal_1_WPF_wg_przeplywow!J27</f>
        <v>0</v>
      </c>
      <c r="K33" s="49">
        <f>+Zal_1_WPF_wg_przeplywow!K27</f>
        <v>0</v>
      </c>
      <c r="L33" s="49">
        <f>+Zal_1_WPF_wg_przeplywow!L27</f>
        <v>0</v>
      </c>
      <c r="M33" s="49">
        <f>+Zal_1_WPF_wg_przeplywow!M27</f>
        <v>0</v>
      </c>
      <c r="N33" s="49">
        <f>+Zal_1_WPF_wg_przeplywow!N27</f>
        <v>0</v>
      </c>
      <c r="O33" s="49">
        <f>+Zal_1_WPF_wg_przeplywow!O27</f>
        <v>0</v>
      </c>
      <c r="P33" s="49">
        <f>+Zal_1_WPF_wg_przeplywow!P27</f>
        <v>0</v>
      </c>
      <c r="Q33" s="49">
        <f>+Zal_1_WPF_wg_przeplywow!Q27</f>
        <v>0</v>
      </c>
      <c r="R33" s="49">
        <f>+Zal_1_WPF_wg_przeplywow!R27</f>
        <v>0</v>
      </c>
      <c r="S33" s="49">
        <f>+Zal_1_WPF_wg_przeplywow!S27</f>
        <v>0</v>
      </c>
      <c r="T33" s="49">
        <f>+Zal_1_WPF_wg_przeplywow!T27</f>
        <v>0</v>
      </c>
      <c r="U33" s="49">
        <f>+Zal_1_WPF_wg_przeplywow!U27</f>
        <v>0</v>
      </c>
      <c r="V33" s="49">
        <f>+Zal_1_WPF_wg_przeplywow!V27</f>
        <v>0</v>
      </c>
      <c r="W33" s="49">
        <f>+Zal_1_WPF_wg_przeplywow!W27</f>
        <v>0</v>
      </c>
      <c r="X33" s="49">
        <f>+Zal_1_WPF_wg_przeplywow!X27</f>
        <v>0</v>
      </c>
      <c r="Y33" s="49">
        <f>+Zal_1_WPF_wg_przeplywow!Y27</f>
        <v>0</v>
      </c>
      <c r="Z33" s="49">
        <f>+Zal_1_WPF_wg_przeplywow!Z27</f>
        <v>0</v>
      </c>
      <c r="AA33" s="49">
        <f>+Zal_1_WPF_wg_przeplywow!AA27</f>
        <v>0</v>
      </c>
      <c r="AB33" s="49">
        <f>+Zal_1_WPF_wg_przeplywow!AB27</f>
        <v>0</v>
      </c>
      <c r="AC33" s="49">
        <f>+Zal_1_WPF_wg_przeplywow!AC27</f>
        <v>0</v>
      </c>
      <c r="AD33" s="49">
        <f>+Zal_1_WPF_wg_przeplywow!AD27</f>
        <v>0</v>
      </c>
      <c r="AE33" s="49">
        <f>+Zal_1_WPF_wg_przeplywow!AE27</f>
        <v>0</v>
      </c>
      <c r="AF33" s="49">
        <f>+Zal_1_WPF_wg_przeplywow!AF27</f>
        <v>0</v>
      </c>
      <c r="AG33" s="49">
        <f>+Zal_1_WPF_wg_przeplywow!AG27</f>
        <v>0</v>
      </c>
    </row>
    <row r="34" spans="1:33" ht="14.25" outlineLevel="2">
      <c r="A34" s="47"/>
      <c r="B34" s="56" t="s">
        <v>61</v>
      </c>
      <c r="C34" s="49">
        <f>+Zal_1_WPF_wg_przeplywow!C28</f>
        <v>0</v>
      </c>
      <c r="D34" s="49">
        <f>+Zal_1_WPF_wg_przeplywow!D28</f>
        <v>0</v>
      </c>
      <c r="E34" s="49">
        <f>+Zal_1_WPF_wg_przeplywow!E28</f>
        <v>0</v>
      </c>
      <c r="F34" s="49">
        <f>+Zal_1_WPF_wg_przeplywow!F28</f>
        <v>0</v>
      </c>
      <c r="G34" s="49">
        <f>+Zal_1_WPF_wg_przeplywow!G28</f>
        <v>0</v>
      </c>
      <c r="H34" s="49">
        <f>+Zal_1_WPF_wg_przeplywow!H28</f>
        <v>0</v>
      </c>
      <c r="I34" s="49">
        <f>+Zal_1_WPF_wg_przeplywow!I28</f>
        <v>0</v>
      </c>
      <c r="J34" s="49">
        <f>+Zal_1_WPF_wg_przeplywow!J28</f>
        <v>0</v>
      </c>
      <c r="K34" s="49">
        <f>+Zal_1_WPF_wg_przeplywow!K28</f>
        <v>0</v>
      </c>
      <c r="L34" s="49">
        <f>+Zal_1_WPF_wg_przeplywow!L28</f>
        <v>0</v>
      </c>
      <c r="M34" s="49">
        <f>+Zal_1_WPF_wg_przeplywow!M28</f>
        <v>0</v>
      </c>
      <c r="N34" s="49">
        <f>+Zal_1_WPF_wg_przeplywow!N28</f>
        <v>0</v>
      </c>
      <c r="O34" s="49">
        <f>+Zal_1_WPF_wg_przeplywow!O28</f>
        <v>0</v>
      </c>
      <c r="P34" s="49">
        <f>+Zal_1_WPF_wg_przeplywow!P28</f>
        <v>0</v>
      </c>
      <c r="Q34" s="49">
        <f>+Zal_1_WPF_wg_przeplywow!Q28</f>
        <v>0</v>
      </c>
      <c r="R34" s="49">
        <f>+Zal_1_WPF_wg_przeplywow!R28</f>
        <v>0</v>
      </c>
      <c r="S34" s="49">
        <f>+Zal_1_WPF_wg_przeplywow!S28</f>
        <v>0</v>
      </c>
      <c r="T34" s="49">
        <f>+Zal_1_WPF_wg_przeplywow!T28</f>
        <v>0</v>
      </c>
      <c r="U34" s="49">
        <f>+Zal_1_WPF_wg_przeplywow!U28</f>
        <v>0</v>
      </c>
      <c r="V34" s="49">
        <f>+Zal_1_WPF_wg_przeplywow!V28</f>
        <v>0</v>
      </c>
      <c r="W34" s="49">
        <f>+Zal_1_WPF_wg_przeplywow!W28</f>
        <v>0</v>
      </c>
      <c r="X34" s="49">
        <f>+Zal_1_WPF_wg_przeplywow!X28</f>
        <v>0</v>
      </c>
      <c r="Y34" s="49">
        <f>+Zal_1_WPF_wg_przeplywow!Y28</f>
        <v>0</v>
      </c>
      <c r="Z34" s="49">
        <f>+Zal_1_WPF_wg_przeplywow!Z28</f>
        <v>0</v>
      </c>
      <c r="AA34" s="49">
        <f>+Zal_1_WPF_wg_przeplywow!AA28</f>
        <v>0</v>
      </c>
      <c r="AB34" s="49">
        <f>+Zal_1_WPF_wg_przeplywow!AB28</f>
        <v>0</v>
      </c>
      <c r="AC34" s="49">
        <f>+Zal_1_WPF_wg_przeplywow!AC28</f>
        <v>0</v>
      </c>
      <c r="AD34" s="49">
        <f>+Zal_1_WPF_wg_przeplywow!AD28</f>
        <v>0</v>
      </c>
      <c r="AE34" s="49">
        <f>+Zal_1_WPF_wg_przeplywow!AE28</f>
        <v>0</v>
      </c>
      <c r="AF34" s="49">
        <f>+Zal_1_WPF_wg_przeplywow!AF28</f>
        <v>0</v>
      </c>
      <c r="AG34" s="49">
        <f>+Zal_1_WPF_wg_przeplywow!AG28</f>
        <v>0</v>
      </c>
    </row>
    <row r="35" spans="1:33" ht="14.25" outlineLevel="1">
      <c r="A35" s="47"/>
      <c r="B35" s="48" t="s">
        <v>62</v>
      </c>
      <c r="C35" s="53">
        <f>+Zal_1_WPF_wg_przeplywow!C43</f>
        <v>3040000</v>
      </c>
      <c r="D35" s="53">
        <f>+Zal_1_WPF_wg_przeplywow!D43</f>
        <v>406374</v>
      </c>
      <c r="E35" s="53">
        <f>+Zal_1_WPF_wg_przeplywow!E43</f>
        <v>985634</v>
      </c>
      <c r="F35" s="53">
        <f>+Zal_1_WPF_wg_przeplywow!F43</f>
        <v>1061703</v>
      </c>
      <c r="G35" s="53">
        <f>+Zal_1_WPF_wg_przeplywow!G43</f>
        <v>0</v>
      </c>
      <c r="H35" s="53">
        <f>+Zal_1_WPF_wg_przeplywow!H43</f>
        <v>0</v>
      </c>
      <c r="I35" s="53">
        <f>+Zal_1_WPF_wg_przeplywow!I43</f>
        <v>0</v>
      </c>
      <c r="J35" s="53">
        <f>+Zal_1_WPF_wg_przeplywow!J43</f>
        <v>0</v>
      </c>
      <c r="K35" s="53">
        <f>+Zal_1_WPF_wg_przeplywow!K43</f>
        <v>0</v>
      </c>
      <c r="L35" s="53">
        <f>+Zal_1_WPF_wg_przeplywow!L43</f>
        <v>0</v>
      </c>
      <c r="M35" s="53">
        <f>+Zal_1_WPF_wg_przeplywow!M43</f>
        <v>0</v>
      </c>
      <c r="N35" s="53">
        <f>+Zal_1_WPF_wg_przeplywow!N43</f>
        <v>0</v>
      </c>
      <c r="O35" s="53">
        <f>+Zal_1_WPF_wg_przeplywow!O43</f>
        <v>0</v>
      </c>
      <c r="P35" s="53">
        <f>+Zal_1_WPF_wg_przeplywow!P43</f>
        <v>0</v>
      </c>
      <c r="Q35" s="53">
        <f>+Zal_1_WPF_wg_przeplywow!Q43</f>
        <v>0</v>
      </c>
      <c r="R35" s="53">
        <f>+Zal_1_WPF_wg_przeplywow!R43</f>
        <v>0</v>
      </c>
      <c r="S35" s="53">
        <f>+Zal_1_WPF_wg_przeplywow!S43</f>
        <v>0</v>
      </c>
      <c r="T35" s="53">
        <f>+Zal_1_WPF_wg_przeplywow!T43</f>
        <v>0</v>
      </c>
      <c r="U35" s="53">
        <f>+Zal_1_WPF_wg_przeplywow!U43</f>
        <v>0</v>
      </c>
      <c r="V35" s="53">
        <f>+Zal_1_WPF_wg_przeplywow!V43</f>
        <v>0</v>
      </c>
      <c r="W35" s="53">
        <f>+Zal_1_WPF_wg_przeplywow!W43</f>
        <v>0</v>
      </c>
      <c r="X35" s="53">
        <f>+Zal_1_WPF_wg_przeplywow!X43</f>
        <v>0</v>
      </c>
      <c r="Y35" s="53">
        <f>+Zal_1_WPF_wg_przeplywow!Y43</f>
        <v>0</v>
      </c>
      <c r="Z35" s="53">
        <f>+Zal_1_WPF_wg_przeplywow!Z43</f>
        <v>0</v>
      </c>
      <c r="AA35" s="53">
        <f>+Zal_1_WPF_wg_przeplywow!AA43</f>
        <v>0</v>
      </c>
      <c r="AB35" s="53">
        <f>+Zal_1_WPF_wg_przeplywow!AB43</f>
        <v>0</v>
      </c>
      <c r="AC35" s="53">
        <f>+Zal_1_WPF_wg_przeplywow!AC43</f>
        <v>0</v>
      </c>
      <c r="AD35" s="53">
        <f>+Zal_1_WPF_wg_przeplywow!AD43</f>
        <v>0</v>
      </c>
      <c r="AE35" s="53">
        <f>+Zal_1_WPF_wg_przeplywow!AE43</f>
        <v>0</v>
      </c>
      <c r="AF35" s="53">
        <f>+Zal_1_WPF_wg_przeplywow!AF43</f>
        <v>0</v>
      </c>
      <c r="AG35" s="53">
        <f>+Zal_1_WPF_wg_przeplywow!AG43</f>
        <v>0</v>
      </c>
    </row>
    <row r="36" spans="1:33" ht="14.25" outlineLevel="2">
      <c r="A36" s="47"/>
      <c r="B36" s="50" t="s">
        <v>63</v>
      </c>
      <c r="C36" s="53">
        <f>+Zal_1_WPF_wg_przeplywow!C44</f>
        <v>0</v>
      </c>
      <c r="D36" s="53">
        <f>+Zal_1_WPF_wg_przeplywow!D44</f>
        <v>0</v>
      </c>
      <c r="E36" s="53">
        <f>+Zal_1_WPF_wg_przeplywow!E44</f>
        <v>0</v>
      </c>
      <c r="F36" s="53">
        <f>+Zal_1_WPF_wg_przeplywow!F44</f>
        <v>0</v>
      </c>
      <c r="G36" s="53">
        <f>+Zal_1_WPF_wg_przeplywow!G44</f>
        <v>0</v>
      </c>
      <c r="H36" s="53">
        <f>+Zal_1_WPF_wg_przeplywow!H44</f>
        <v>0</v>
      </c>
      <c r="I36" s="53">
        <f>+Zal_1_WPF_wg_przeplywow!I44</f>
        <v>0</v>
      </c>
      <c r="J36" s="53">
        <f>+Zal_1_WPF_wg_przeplywow!J44</f>
        <v>0</v>
      </c>
      <c r="K36" s="53">
        <f>+Zal_1_WPF_wg_przeplywow!K44</f>
        <v>0</v>
      </c>
      <c r="L36" s="53">
        <f>+Zal_1_WPF_wg_przeplywow!L44</f>
        <v>0</v>
      </c>
      <c r="M36" s="53">
        <f>+Zal_1_WPF_wg_przeplywow!M44</f>
        <v>0</v>
      </c>
      <c r="N36" s="53">
        <f>+Zal_1_WPF_wg_przeplywow!N44</f>
        <v>0</v>
      </c>
      <c r="O36" s="53">
        <f>+Zal_1_WPF_wg_przeplywow!O44</f>
        <v>0</v>
      </c>
      <c r="P36" s="53">
        <f>+Zal_1_WPF_wg_przeplywow!P44</f>
        <v>0</v>
      </c>
      <c r="Q36" s="53">
        <f>+Zal_1_WPF_wg_przeplywow!Q44</f>
        <v>0</v>
      </c>
      <c r="R36" s="53">
        <f>+Zal_1_WPF_wg_przeplywow!R44</f>
        <v>0</v>
      </c>
      <c r="S36" s="53">
        <f>+Zal_1_WPF_wg_przeplywow!S44</f>
        <v>0</v>
      </c>
      <c r="T36" s="53">
        <f>+Zal_1_WPF_wg_przeplywow!T44</f>
        <v>0</v>
      </c>
      <c r="U36" s="53">
        <f>+Zal_1_WPF_wg_przeplywow!U44</f>
        <v>0</v>
      </c>
      <c r="V36" s="53">
        <f>+Zal_1_WPF_wg_przeplywow!V44</f>
        <v>0</v>
      </c>
      <c r="W36" s="53">
        <f>+Zal_1_WPF_wg_przeplywow!W44</f>
        <v>0</v>
      </c>
      <c r="X36" s="53">
        <f>+Zal_1_WPF_wg_przeplywow!X44</f>
        <v>0</v>
      </c>
      <c r="Y36" s="53">
        <f>+Zal_1_WPF_wg_przeplywow!Y44</f>
        <v>0</v>
      </c>
      <c r="Z36" s="53">
        <f>+Zal_1_WPF_wg_przeplywow!Z44</f>
        <v>0</v>
      </c>
      <c r="AA36" s="53">
        <f>+Zal_1_WPF_wg_przeplywow!AA44</f>
        <v>0</v>
      </c>
      <c r="AB36" s="53">
        <f>+Zal_1_WPF_wg_przeplywow!AB44</f>
        <v>0</v>
      </c>
      <c r="AC36" s="53">
        <f>+Zal_1_WPF_wg_przeplywow!AC44</f>
        <v>0</v>
      </c>
      <c r="AD36" s="53">
        <f>+Zal_1_WPF_wg_przeplywow!AD44</f>
        <v>0</v>
      </c>
      <c r="AE36" s="53">
        <f>+Zal_1_WPF_wg_przeplywow!AE44</f>
        <v>0</v>
      </c>
      <c r="AF36" s="53">
        <f>+Zal_1_WPF_wg_przeplywow!AF44</f>
        <v>0</v>
      </c>
      <c r="AG36" s="53">
        <f>+Zal_1_WPF_wg_przeplywow!AG44</f>
        <v>0</v>
      </c>
    </row>
    <row r="37" spans="1:33" ht="14.25" outlineLevel="1">
      <c r="A37" s="47"/>
      <c r="B37" s="48" t="s">
        <v>50</v>
      </c>
      <c r="C37" s="53">
        <f>+Zal_1_WPF_wg_przeplywow!C29</f>
        <v>0</v>
      </c>
      <c r="D37" s="53">
        <f>+Zal_1_WPF_wg_przeplywow!D29</f>
        <v>0</v>
      </c>
      <c r="E37" s="53">
        <f>+Zal_1_WPF_wg_przeplywow!E29</f>
        <v>0</v>
      </c>
      <c r="F37" s="53">
        <f>+Zal_1_WPF_wg_przeplywow!F29</f>
        <v>0</v>
      </c>
      <c r="G37" s="53">
        <f>+Zal_1_WPF_wg_przeplywow!G29</f>
        <v>0</v>
      </c>
      <c r="H37" s="53">
        <f>+Zal_1_WPF_wg_przeplywow!H29</f>
        <v>0</v>
      </c>
      <c r="I37" s="53">
        <f>+Zal_1_WPF_wg_przeplywow!I29</f>
        <v>0</v>
      </c>
      <c r="J37" s="53">
        <f>+Zal_1_WPF_wg_przeplywow!J29</f>
        <v>0</v>
      </c>
      <c r="K37" s="53">
        <f>+Zal_1_WPF_wg_przeplywow!K29</f>
        <v>0</v>
      </c>
      <c r="L37" s="53">
        <f>+Zal_1_WPF_wg_przeplywow!L29</f>
        <v>0</v>
      </c>
      <c r="M37" s="53">
        <f>+Zal_1_WPF_wg_przeplywow!M29</f>
        <v>0</v>
      </c>
      <c r="N37" s="53">
        <f>+Zal_1_WPF_wg_przeplywow!N29</f>
        <v>0</v>
      </c>
      <c r="O37" s="53">
        <f>+Zal_1_WPF_wg_przeplywow!O29</f>
        <v>0</v>
      </c>
      <c r="P37" s="53">
        <f>+Zal_1_WPF_wg_przeplywow!P29</f>
        <v>0</v>
      </c>
      <c r="Q37" s="53">
        <f>+Zal_1_WPF_wg_przeplywow!Q29</f>
        <v>0</v>
      </c>
      <c r="R37" s="53">
        <f>+Zal_1_WPF_wg_przeplywow!R29</f>
        <v>0</v>
      </c>
      <c r="S37" s="53">
        <f>+Zal_1_WPF_wg_przeplywow!S29</f>
        <v>0</v>
      </c>
      <c r="T37" s="53">
        <f>+Zal_1_WPF_wg_przeplywow!T29</f>
        <v>0</v>
      </c>
      <c r="U37" s="53">
        <f>+Zal_1_WPF_wg_przeplywow!U29</f>
        <v>0</v>
      </c>
      <c r="V37" s="53">
        <f>+Zal_1_WPF_wg_przeplywow!V29</f>
        <v>0</v>
      </c>
      <c r="W37" s="53">
        <f>+Zal_1_WPF_wg_przeplywow!W29</f>
        <v>0</v>
      </c>
      <c r="X37" s="53">
        <f>+Zal_1_WPF_wg_przeplywow!X29</f>
        <v>0</v>
      </c>
      <c r="Y37" s="53">
        <f>+Zal_1_WPF_wg_przeplywow!Y29</f>
        <v>0</v>
      </c>
      <c r="Z37" s="53">
        <f>+Zal_1_WPF_wg_przeplywow!Z29</f>
        <v>0</v>
      </c>
      <c r="AA37" s="53">
        <f>+Zal_1_WPF_wg_przeplywow!AA29</f>
        <v>0</v>
      </c>
      <c r="AB37" s="53">
        <f>+Zal_1_WPF_wg_przeplywow!AB29</f>
        <v>0</v>
      </c>
      <c r="AC37" s="53">
        <f>+Zal_1_WPF_wg_przeplywow!AC29</f>
        <v>0</v>
      </c>
      <c r="AD37" s="53">
        <f>+Zal_1_WPF_wg_przeplywow!AD29</f>
        <v>0</v>
      </c>
      <c r="AE37" s="53">
        <f>+Zal_1_WPF_wg_przeplywow!AE29</f>
        <v>0</v>
      </c>
      <c r="AF37" s="53">
        <f>+Zal_1_WPF_wg_przeplywow!AF29</f>
        <v>0</v>
      </c>
      <c r="AG37" s="53">
        <f>+Zal_1_WPF_wg_przeplywow!AG29</f>
        <v>0</v>
      </c>
    </row>
    <row r="38" spans="1:33" ht="14.25" outlineLevel="2">
      <c r="A38" s="61"/>
      <c r="B38" s="64" t="s">
        <v>63</v>
      </c>
      <c r="C38" s="66">
        <f>+Zal_1_WPF_wg_przeplywow!C30</f>
        <v>0</v>
      </c>
      <c r="D38" s="66">
        <f>+Zal_1_WPF_wg_przeplywow!D30</f>
        <v>0</v>
      </c>
      <c r="E38" s="66">
        <f>+Zal_1_WPF_wg_przeplywow!E30</f>
        <v>0</v>
      </c>
      <c r="F38" s="66">
        <f>+Zal_1_WPF_wg_przeplywow!F30</f>
        <v>0</v>
      </c>
      <c r="G38" s="66">
        <f>+Zal_1_WPF_wg_przeplywow!G30</f>
        <v>0</v>
      </c>
      <c r="H38" s="66">
        <f>+Zal_1_WPF_wg_przeplywow!H30</f>
        <v>0</v>
      </c>
      <c r="I38" s="66">
        <f>+Zal_1_WPF_wg_przeplywow!I30</f>
        <v>0</v>
      </c>
      <c r="J38" s="66">
        <f>+Zal_1_WPF_wg_przeplywow!J30</f>
        <v>0</v>
      </c>
      <c r="K38" s="66">
        <f>+Zal_1_WPF_wg_przeplywow!K30</f>
        <v>0</v>
      </c>
      <c r="L38" s="66">
        <f>+Zal_1_WPF_wg_przeplywow!L30</f>
        <v>0</v>
      </c>
      <c r="M38" s="66">
        <f>+Zal_1_WPF_wg_przeplywow!M30</f>
        <v>0</v>
      </c>
      <c r="N38" s="66">
        <f>+Zal_1_WPF_wg_przeplywow!N30</f>
        <v>0</v>
      </c>
      <c r="O38" s="66">
        <f>+Zal_1_WPF_wg_przeplywow!O30</f>
        <v>0</v>
      </c>
      <c r="P38" s="66">
        <f>+Zal_1_WPF_wg_przeplywow!P30</f>
        <v>0</v>
      </c>
      <c r="Q38" s="66">
        <f>+Zal_1_WPF_wg_przeplywow!Q30</f>
        <v>0</v>
      </c>
      <c r="R38" s="66">
        <f>+Zal_1_WPF_wg_przeplywow!R30</f>
        <v>0</v>
      </c>
      <c r="S38" s="66">
        <f>+Zal_1_WPF_wg_przeplywow!S30</f>
        <v>0</v>
      </c>
      <c r="T38" s="66">
        <f>+Zal_1_WPF_wg_przeplywow!T30</f>
        <v>0</v>
      </c>
      <c r="U38" s="66">
        <f>+Zal_1_WPF_wg_przeplywow!U30</f>
        <v>0</v>
      </c>
      <c r="V38" s="66">
        <f>+Zal_1_WPF_wg_przeplywow!V30</f>
        <v>0</v>
      </c>
      <c r="W38" s="66">
        <f>+Zal_1_WPF_wg_przeplywow!W30</f>
        <v>0</v>
      </c>
      <c r="X38" s="66">
        <f>+Zal_1_WPF_wg_przeplywow!X30</f>
        <v>0</v>
      </c>
      <c r="Y38" s="66">
        <f>+Zal_1_WPF_wg_przeplywow!Y30</f>
        <v>0</v>
      </c>
      <c r="Z38" s="66">
        <f>+Zal_1_WPF_wg_przeplywow!Z30</f>
        <v>0</v>
      </c>
      <c r="AA38" s="66">
        <f>+Zal_1_WPF_wg_przeplywow!AA30</f>
        <v>0</v>
      </c>
      <c r="AB38" s="66">
        <f>+Zal_1_WPF_wg_przeplywow!AB30</f>
        <v>0</v>
      </c>
      <c r="AC38" s="66">
        <f>+Zal_1_WPF_wg_przeplywow!AC30</f>
        <v>0</v>
      </c>
      <c r="AD38" s="66">
        <f>+Zal_1_WPF_wg_przeplywow!AD30</f>
        <v>0</v>
      </c>
      <c r="AE38" s="66">
        <f>+Zal_1_WPF_wg_przeplywow!AE30</f>
        <v>0</v>
      </c>
      <c r="AF38" s="66">
        <f>+Zal_1_WPF_wg_przeplywow!AF30</f>
        <v>0</v>
      </c>
      <c r="AG38" s="66">
        <f>+Zal_1_WPF_wg_przeplywow!AG30</f>
        <v>0</v>
      </c>
    </row>
    <row r="39" spans="1:33" ht="14.25">
      <c r="A39" s="44" t="s">
        <v>9</v>
      </c>
      <c r="B39" s="45" t="s">
        <v>51</v>
      </c>
      <c r="C39" s="46">
        <f>+Zal_1_WPF_wg_przeplywow!C79</f>
        <v>3670600</v>
      </c>
      <c r="D39" s="46">
        <f>+Zal_1_WPF_wg_przeplywow!D79</f>
        <v>781000</v>
      </c>
      <c r="E39" s="46">
        <f>+Zal_1_WPF_wg_przeplywow!E79</f>
        <v>1396900</v>
      </c>
      <c r="F39" s="46">
        <f>+Zal_1_WPF_wg_przeplywow!F79</f>
        <v>1500000</v>
      </c>
      <c r="G39" s="46">
        <f>+Zal_1_WPF_wg_przeplywow!G79</f>
        <v>1694000</v>
      </c>
      <c r="H39" s="46">
        <f>+Zal_1_WPF_wg_przeplywow!H79</f>
        <v>1950000</v>
      </c>
      <c r="I39" s="46">
        <f>+Zal_1_WPF_wg_przeplywow!I79</f>
        <v>2450000</v>
      </c>
      <c r="J39" s="46">
        <f>+Zal_1_WPF_wg_przeplywow!J79</f>
        <v>500000</v>
      </c>
      <c r="K39" s="46">
        <f>+Zal_1_WPF_wg_przeplywow!K79</f>
        <v>2566576</v>
      </c>
      <c r="L39" s="46">
        <f>+Zal_1_WPF_wg_przeplywow!L79</f>
        <v>1693635</v>
      </c>
      <c r="M39" s="46">
        <f>+Zal_1_WPF_wg_przeplywow!M79</f>
        <v>0</v>
      </c>
      <c r="N39" s="46">
        <f>+Zal_1_WPF_wg_przeplywow!N79</f>
        <v>0</v>
      </c>
      <c r="O39" s="46">
        <f>+Zal_1_WPF_wg_przeplywow!O79</f>
        <v>0</v>
      </c>
      <c r="P39" s="46">
        <f>+Zal_1_WPF_wg_przeplywow!P79</f>
        <v>0</v>
      </c>
      <c r="Q39" s="46">
        <f>+Zal_1_WPF_wg_przeplywow!Q79</f>
        <v>0</v>
      </c>
      <c r="R39" s="46">
        <f>+Zal_1_WPF_wg_przeplywow!R79</f>
        <v>0</v>
      </c>
      <c r="S39" s="46">
        <f>+Zal_1_WPF_wg_przeplywow!S79</f>
        <v>0</v>
      </c>
      <c r="T39" s="46">
        <f>+Zal_1_WPF_wg_przeplywow!T79</f>
        <v>0</v>
      </c>
      <c r="U39" s="46">
        <f>+Zal_1_WPF_wg_przeplywow!U79</f>
        <v>0</v>
      </c>
      <c r="V39" s="46">
        <f>+Zal_1_WPF_wg_przeplywow!V79</f>
        <v>0</v>
      </c>
      <c r="W39" s="46">
        <f>+Zal_1_WPF_wg_przeplywow!W79</f>
        <v>0</v>
      </c>
      <c r="X39" s="46">
        <f>+Zal_1_WPF_wg_przeplywow!X79</f>
        <v>0</v>
      </c>
      <c r="Y39" s="46">
        <f>+Zal_1_WPF_wg_przeplywow!Y79</f>
        <v>0</v>
      </c>
      <c r="Z39" s="46">
        <f>+Zal_1_WPF_wg_przeplywow!Z79</f>
        <v>0</v>
      </c>
      <c r="AA39" s="46">
        <f>+Zal_1_WPF_wg_przeplywow!AA79</f>
        <v>0</v>
      </c>
      <c r="AB39" s="46">
        <f>+Zal_1_WPF_wg_przeplywow!AB79</f>
        <v>0</v>
      </c>
      <c r="AC39" s="46">
        <f>+Zal_1_WPF_wg_przeplywow!AC79</f>
        <v>0</v>
      </c>
      <c r="AD39" s="46">
        <f>+Zal_1_WPF_wg_przeplywow!AD79</f>
        <v>0</v>
      </c>
      <c r="AE39" s="46">
        <f>+Zal_1_WPF_wg_przeplywow!AE79</f>
        <v>0</v>
      </c>
      <c r="AF39" s="46">
        <f>+Zal_1_WPF_wg_przeplywow!AF79</f>
        <v>0</v>
      </c>
      <c r="AG39" s="46">
        <f>+Zal_1_WPF_wg_przeplywow!AG79</f>
        <v>0</v>
      </c>
    </row>
    <row r="40" spans="1:33" ht="14.25" outlineLevel="1">
      <c r="A40" s="47"/>
      <c r="B40" s="48" t="s">
        <v>64</v>
      </c>
      <c r="C40" s="49">
        <f>+Zal_1_WPF_wg_przeplywow!C33</f>
        <v>3670600</v>
      </c>
      <c r="D40" s="49">
        <f>+Zal_1_WPF_wg_przeplywow!D33</f>
        <v>781000</v>
      </c>
      <c r="E40" s="49">
        <f>+Zal_1_WPF_wg_przeplywow!E33</f>
        <v>1396900</v>
      </c>
      <c r="F40" s="49">
        <f>+Zal_1_WPF_wg_przeplywow!F33</f>
        <v>1500000</v>
      </c>
      <c r="G40" s="49">
        <f>+Zal_1_WPF_wg_przeplywow!G33</f>
        <v>1694000</v>
      </c>
      <c r="H40" s="49">
        <f>+Zal_1_WPF_wg_przeplywow!H33</f>
        <v>1950000</v>
      </c>
      <c r="I40" s="49">
        <f>+Zal_1_WPF_wg_przeplywow!I33</f>
        <v>2450000</v>
      </c>
      <c r="J40" s="49">
        <f>+Zal_1_WPF_wg_przeplywow!J33</f>
        <v>500000</v>
      </c>
      <c r="K40" s="49">
        <f>+Zal_1_WPF_wg_przeplywow!K33</f>
        <v>2566576</v>
      </c>
      <c r="L40" s="49">
        <f>+Zal_1_WPF_wg_przeplywow!L33</f>
        <v>1693635</v>
      </c>
      <c r="M40" s="49">
        <f>+Zal_1_WPF_wg_przeplywow!M33</f>
        <v>0</v>
      </c>
      <c r="N40" s="49">
        <f>+Zal_1_WPF_wg_przeplywow!N33</f>
        <v>0</v>
      </c>
      <c r="O40" s="49">
        <f>+Zal_1_WPF_wg_przeplywow!O33</f>
        <v>0</v>
      </c>
      <c r="P40" s="49">
        <f>+Zal_1_WPF_wg_przeplywow!P33</f>
        <v>0</v>
      </c>
      <c r="Q40" s="49">
        <f>+Zal_1_WPF_wg_przeplywow!Q33</f>
        <v>0</v>
      </c>
      <c r="R40" s="49">
        <f>+Zal_1_WPF_wg_przeplywow!R33</f>
        <v>0</v>
      </c>
      <c r="S40" s="49">
        <f>+Zal_1_WPF_wg_przeplywow!S33</f>
        <v>0</v>
      </c>
      <c r="T40" s="49">
        <f>+Zal_1_WPF_wg_przeplywow!T33</f>
        <v>0</v>
      </c>
      <c r="U40" s="49">
        <f>+Zal_1_WPF_wg_przeplywow!U33</f>
        <v>0</v>
      </c>
      <c r="V40" s="49">
        <f>+Zal_1_WPF_wg_przeplywow!V33</f>
        <v>0</v>
      </c>
      <c r="W40" s="49">
        <f>+Zal_1_WPF_wg_przeplywow!W33</f>
        <v>0</v>
      </c>
      <c r="X40" s="49">
        <f>+Zal_1_WPF_wg_przeplywow!X33</f>
        <v>0</v>
      </c>
      <c r="Y40" s="49">
        <f>+Zal_1_WPF_wg_przeplywow!Y33</f>
        <v>0</v>
      </c>
      <c r="Z40" s="49">
        <f>+Zal_1_WPF_wg_przeplywow!Z33</f>
        <v>0</v>
      </c>
      <c r="AA40" s="49">
        <f>+Zal_1_WPF_wg_przeplywow!AA33</f>
        <v>0</v>
      </c>
      <c r="AB40" s="49">
        <f>+Zal_1_WPF_wg_przeplywow!AB33</f>
        <v>0</v>
      </c>
      <c r="AC40" s="49">
        <f>+Zal_1_WPF_wg_przeplywow!AC33</f>
        <v>0</v>
      </c>
      <c r="AD40" s="49">
        <f>+Zal_1_WPF_wg_przeplywow!AD33</f>
        <v>0</v>
      </c>
      <c r="AE40" s="49">
        <f>+Zal_1_WPF_wg_przeplywow!AE33</f>
        <v>0</v>
      </c>
      <c r="AF40" s="49">
        <f>+Zal_1_WPF_wg_przeplywow!AF33</f>
        <v>0</v>
      </c>
      <c r="AG40" s="49">
        <f>+Zal_1_WPF_wg_przeplywow!AG33</f>
        <v>0</v>
      </c>
    </row>
    <row r="41" spans="1:33" ht="24" outlineLevel="2">
      <c r="A41" s="47"/>
      <c r="B41" s="50" t="s">
        <v>65</v>
      </c>
      <c r="C41" s="49">
        <f>+Zal_1_WPF_wg_przeplywow!C34</f>
        <v>0</v>
      </c>
      <c r="D41" s="49">
        <f>+Zal_1_WPF_wg_przeplywow!D34</f>
        <v>0</v>
      </c>
      <c r="E41" s="49">
        <f>+Zal_1_WPF_wg_przeplywow!E34</f>
        <v>0</v>
      </c>
      <c r="F41" s="49">
        <f>+Zal_1_WPF_wg_przeplywow!F34</f>
        <v>0</v>
      </c>
      <c r="G41" s="49">
        <f>+Zal_1_WPF_wg_przeplywow!G34</f>
        <v>0</v>
      </c>
      <c r="H41" s="49">
        <f>+Zal_1_WPF_wg_przeplywow!H34</f>
        <v>0</v>
      </c>
      <c r="I41" s="49">
        <f>+Zal_1_WPF_wg_przeplywow!I34</f>
        <v>0</v>
      </c>
      <c r="J41" s="49">
        <f>+Zal_1_WPF_wg_przeplywow!J34</f>
        <v>0</v>
      </c>
      <c r="K41" s="49">
        <f>+Zal_1_WPF_wg_przeplywow!K34</f>
        <v>0</v>
      </c>
      <c r="L41" s="49">
        <f>+Zal_1_WPF_wg_przeplywow!L34</f>
        <v>0</v>
      </c>
      <c r="M41" s="49">
        <f>+Zal_1_WPF_wg_przeplywow!M34</f>
        <v>0</v>
      </c>
      <c r="N41" s="49">
        <f>+Zal_1_WPF_wg_przeplywow!N34</f>
        <v>0</v>
      </c>
      <c r="O41" s="49">
        <f>+Zal_1_WPF_wg_przeplywow!O34</f>
        <v>0</v>
      </c>
      <c r="P41" s="49">
        <f>+Zal_1_WPF_wg_przeplywow!P34</f>
        <v>0</v>
      </c>
      <c r="Q41" s="49">
        <f>+Zal_1_WPF_wg_przeplywow!Q34</f>
        <v>0</v>
      </c>
      <c r="R41" s="49">
        <f>+Zal_1_WPF_wg_przeplywow!R34</f>
        <v>0</v>
      </c>
      <c r="S41" s="49">
        <f>+Zal_1_WPF_wg_przeplywow!S34</f>
        <v>0</v>
      </c>
      <c r="T41" s="49">
        <f>+Zal_1_WPF_wg_przeplywow!T34</f>
        <v>0</v>
      </c>
      <c r="U41" s="49">
        <f>+Zal_1_WPF_wg_przeplywow!U34</f>
        <v>0</v>
      </c>
      <c r="V41" s="49">
        <f>+Zal_1_WPF_wg_przeplywow!V34</f>
        <v>0</v>
      </c>
      <c r="W41" s="49">
        <f>+Zal_1_WPF_wg_przeplywow!W34</f>
        <v>0</v>
      </c>
      <c r="X41" s="49">
        <f>+Zal_1_WPF_wg_przeplywow!X34</f>
        <v>0</v>
      </c>
      <c r="Y41" s="49">
        <f>+Zal_1_WPF_wg_przeplywow!Y34</f>
        <v>0</v>
      </c>
      <c r="Z41" s="49">
        <f>+Zal_1_WPF_wg_przeplywow!Z34</f>
        <v>0</v>
      </c>
      <c r="AA41" s="49">
        <f>+Zal_1_WPF_wg_przeplywow!AA34</f>
        <v>0</v>
      </c>
      <c r="AB41" s="49">
        <f>+Zal_1_WPF_wg_przeplywow!AB34</f>
        <v>0</v>
      </c>
      <c r="AC41" s="49">
        <f>+Zal_1_WPF_wg_przeplywow!AC34</f>
        <v>0</v>
      </c>
      <c r="AD41" s="49">
        <f>+Zal_1_WPF_wg_przeplywow!AD34</f>
        <v>0</v>
      </c>
      <c r="AE41" s="49">
        <f>+Zal_1_WPF_wg_przeplywow!AE34</f>
        <v>0</v>
      </c>
      <c r="AF41" s="49">
        <f>+Zal_1_WPF_wg_przeplywow!AF34</f>
        <v>0</v>
      </c>
      <c r="AG41" s="49">
        <f>+Zal_1_WPF_wg_przeplywow!AG34</f>
        <v>0</v>
      </c>
    </row>
    <row r="42" spans="1:33" ht="15" outlineLevel="1" thickBot="1">
      <c r="A42" s="61"/>
      <c r="B42" s="62" t="s">
        <v>14</v>
      </c>
      <c r="C42" s="66">
        <f>+Zal_1_WPF_wg_przeplywow!C37</f>
        <v>0</v>
      </c>
      <c r="D42" s="66">
        <f>+Zal_1_WPF_wg_przeplywow!D37</f>
        <v>0</v>
      </c>
      <c r="E42" s="66">
        <f>+Zal_1_WPF_wg_przeplywow!E37</f>
        <v>0</v>
      </c>
      <c r="F42" s="66">
        <f>+Zal_1_WPF_wg_przeplywow!F37</f>
        <v>0</v>
      </c>
      <c r="G42" s="66">
        <f>+Zal_1_WPF_wg_przeplywow!G37</f>
        <v>0</v>
      </c>
      <c r="H42" s="66">
        <f>+Zal_1_WPF_wg_przeplywow!H37</f>
        <v>0</v>
      </c>
      <c r="I42" s="66">
        <f>+Zal_1_WPF_wg_przeplywow!I37</f>
        <v>0</v>
      </c>
      <c r="J42" s="66">
        <f>+Zal_1_WPF_wg_przeplywow!J37</f>
        <v>0</v>
      </c>
      <c r="K42" s="66">
        <f>+Zal_1_WPF_wg_przeplywow!K37</f>
        <v>0</v>
      </c>
      <c r="L42" s="66">
        <f>+Zal_1_WPF_wg_przeplywow!L37</f>
        <v>0</v>
      </c>
      <c r="M42" s="66">
        <f>+Zal_1_WPF_wg_przeplywow!M37</f>
        <v>0</v>
      </c>
      <c r="N42" s="66">
        <f>+Zal_1_WPF_wg_przeplywow!N37</f>
        <v>0</v>
      </c>
      <c r="O42" s="66">
        <f>+Zal_1_WPF_wg_przeplywow!O37</f>
        <v>0</v>
      </c>
      <c r="P42" s="66">
        <f>+Zal_1_WPF_wg_przeplywow!P37</f>
        <v>0</v>
      </c>
      <c r="Q42" s="66">
        <f>+Zal_1_WPF_wg_przeplywow!Q37</f>
        <v>0</v>
      </c>
      <c r="R42" s="66">
        <f>+Zal_1_WPF_wg_przeplywow!R37</f>
        <v>0</v>
      </c>
      <c r="S42" s="66">
        <f>+Zal_1_WPF_wg_przeplywow!S37</f>
        <v>0</v>
      </c>
      <c r="T42" s="66">
        <f>+Zal_1_WPF_wg_przeplywow!T37</f>
        <v>0</v>
      </c>
      <c r="U42" s="66">
        <f>+Zal_1_WPF_wg_przeplywow!U37</f>
        <v>0</v>
      </c>
      <c r="V42" s="66">
        <f>+Zal_1_WPF_wg_przeplywow!V37</f>
        <v>0</v>
      </c>
      <c r="W42" s="66">
        <f>+Zal_1_WPF_wg_przeplywow!W37</f>
        <v>0</v>
      </c>
      <c r="X42" s="66">
        <f>+Zal_1_WPF_wg_przeplywow!X37</f>
        <v>0</v>
      </c>
      <c r="Y42" s="66">
        <f>+Zal_1_WPF_wg_przeplywow!Y37</f>
        <v>0</v>
      </c>
      <c r="Z42" s="66">
        <f>+Zal_1_WPF_wg_przeplywow!Z37</f>
        <v>0</v>
      </c>
      <c r="AA42" s="66">
        <f>+Zal_1_WPF_wg_przeplywow!AA37</f>
        <v>0</v>
      </c>
      <c r="AB42" s="66">
        <f>+Zal_1_WPF_wg_przeplywow!AB37</f>
        <v>0</v>
      </c>
      <c r="AC42" s="66">
        <f>+Zal_1_WPF_wg_przeplywow!AC37</f>
        <v>0</v>
      </c>
      <c r="AD42" s="66">
        <f>+Zal_1_WPF_wg_przeplywow!AD37</f>
        <v>0</v>
      </c>
      <c r="AE42" s="66">
        <f>+Zal_1_WPF_wg_przeplywow!AE37</f>
        <v>0</v>
      </c>
      <c r="AF42" s="66">
        <f>+Zal_1_WPF_wg_przeplywow!AF37</f>
        <v>0</v>
      </c>
      <c r="AG42" s="66">
        <f>+Zal_1_WPF_wg_przeplywow!AG37</f>
        <v>0</v>
      </c>
    </row>
    <row r="43" spans="1:255" s="18" customFormat="1" ht="14.25">
      <c r="A43" s="44" t="s">
        <v>10</v>
      </c>
      <c r="B43" s="45" t="s">
        <v>66</v>
      </c>
      <c r="C43" s="46">
        <f>+Zal_1_WPF_wg_przeplywow!C46</f>
        <v>12078400</v>
      </c>
      <c r="D43" s="46">
        <f>+Zal_1_WPF_wg_przeplywow!D46</f>
        <v>11703774</v>
      </c>
      <c r="E43" s="46">
        <f>+Zal_1_WPF_wg_przeplywow!E46</f>
        <v>11292508</v>
      </c>
      <c r="F43" s="46">
        <f>+Zal_1_WPF_wg_przeplywow!F46</f>
        <v>10854211</v>
      </c>
      <c r="G43" s="46">
        <f>+Zal_1_WPF_wg_przeplywow!G46</f>
        <v>9160211</v>
      </c>
      <c r="H43" s="46">
        <f>+Zal_1_WPF_wg_przeplywow!H46</f>
        <v>7210211</v>
      </c>
      <c r="I43" s="46">
        <f>+Zal_1_WPF_wg_przeplywow!I46</f>
        <v>4760211</v>
      </c>
      <c r="J43" s="46">
        <f>+Zal_1_WPF_wg_przeplywow!J46</f>
        <v>4260211</v>
      </c>
      <c r="K43" s="46">
        <f>+Zal_1_WPF_wg_przeplywow!K46</f>
        <v>1693635</v>
      </c>
      <c r="L43" s="46">
        <f>+Zal_1_WPF_wg_przeplywow!L46</f>
        <v>0</v>
      </c>
      <c r="M43" s="46">
        <f>+Zal_1_WPF_wg_przeplywow!M46</f>
        <v>0</v>
      </c>
      <c r="N43" s="46">
        <f>+Zal_1_WPF_wg_przeplywow!N46</f>
        <v>0</v>
      </c>
      <c r="O43" s="46">
        <f>+Zal_1_WPF_wg_przeplywow!O46</f>
        <v>0</v>
      </c>
      <c r="P43" s="46">
        <f>+Zal_1_WPF_wg_przeplywow!P46</f>
        <v>0</v>
      </c>
      <c r="Q43" s="46">
        <f>+Zal_1_WPF_wg_przeplywow!Q46</f>
        <v>0</v>
      </c>
      <c r="R43" s="46">
        <f>+Zal_1_WPF_wg_przeplywow!R46</f>
        <v>0</v>
      </c>
      <c r="S43" s="46">
        <f>+Zal_1_WPF_wg_przeplywow!S46</f>
        <v>0</v>
      </c>
      <c r="T43" s="46">
        <f>+Zal_1_WPF_wg_przeplywow!T46</f>
        <v>0</v>
      </c>
      <c r="U43" s="46">
        <f>+Zal_1_WPF_wg_przeplywow!U46</f>
        <v>0</v>
      </c>
      <c r="V43" s="46">
        <f>+Zal_1_WPF_wg_przeplywow!V46</f>
        <v>0</v>
      </c>
      <c r="W43" s="46">
        <f>+Zal_1_WPF_wg_przeplywow!W46</f>
        <v>0</v>
      </c>
      <c r="X43" s="46">
        <f>+Zal_1_WPF_wg_przeplywow!X46</f>
        <v>0</v>
      </c>
      <c r="Y43" s="46">
        <f>+Zal_1_WPF_wg_przeplywow!Y46</f>
        <v>0</v>
      </c>
      <c r="Z43" s="46">
        <f>+Zal_1_WPF_wg_przeplywow!Z46</f>
        <v>0</v>
      </c>
      <c r="AA43" s="46">
        <f>+Zal_1_WPF_wg_przeplywow!AA46</f>
        <v>0</v>
      </c>
      <c r="AB43" s="46">
        <f>+Zal_1_WPF_wg_przeplywow!AB46</f>
        <v>0</v>
      </c>
      <c r="AC43" s="46">
        <f>+Zal_1_WPF_wg_przeplywow!AC46</f>
        <v>0</v>
      </c>
      <c r="AD43" s="46">
        <f>+Zal_1_WPF_wg_przeplywow!AD46</f>
        <v>0</v>
      </c>
      <c r="AE43" s="46">
        <f>+Zal_1_WPF_wg_przeplywow!AE46</f>
        <v>0</v>
      </c>
      <c r="AF43" s="46">
        <f>+Zal_1_WPF_wg_przeplywow!AF46</f>
        <v>0</v>
      </c>
      <c r="AG43" s="46">
        <f>+Zal_1_WPF_wg_przeplywow!AG46</f>
        <v>0</v>
      </c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s="2" customFormat="1" ht="24" outlineLevel="1">
      <c r="A44" s="65"/>
      <c r="B44" s="62" t="s">
        <v>67</v>
      </c>
      <c r="C44" s="66">
        <f>+Zal_1_WPF_wg_przeplywow!C47</f>
        <v>0</v>
      </c>
      <c r="D44" s="66">
        <f>+Zal_1_WPF_wg_przeplywow!D47</f>
        <v>0</v>
      </c>
      <c r="E44" s="66">
        <f>+Zal_1_WPF_wg_przeplywow!E47</f>
        <v>0</v>
      </c>
      <c r="F44" s="66">
        <f>+Zal_1_WPF_wg_przeplywow!F47</f>
        <v>0</v>
      </c>
      <c r="G44" s="66">
        <f>+Zal_1_WPF_wg_przeplywow!G47</f>
        <v>0</v>
      </c>
      <c r="H44" s="66">
        <f>+Zal_1_WPF_wg_przeplywow!H47</f>
        <v>0</v>
      </c>
      <c r="I44" s="66">
        <f>+Zal_1_WPF_wg_przeplywow!I47</f>
        <v>0</v>
      </c>
      <c r="J44" s="66">
        <f>+Zal_1_WPF_wg_przeplywow!J47</f>
        <v>0</v>
      </c>
      <c r="K44" s="66">
        <f>+Zal_1_WPF_wg_przeplywow!K47</f>
        <v>0</v>
      </c>
      <c r="L44" s="66">
        <f>+Zal_1_WPF_wg_przeplywow!L47</f>
        <v>0</v>
      </c>
      <c r="M44" s="66">
        <f>+Zal_1_WPF_wg_przeplywow!M47</f>
        <v>0</v>
      </c>
      <c r="N44" s="66">
        <f>+Zal_1_WPF_wg_przeplywow!N47</f>
        <v>0</v>
      </c>
      <c r="O44" s="66">
        <f>+Zal_1_WPF_wg_przeplywow!O47</f>
        <v>0</v>
      </c>
      <c r="P44" s="66">
        <f>+Zal_1_WPF_wg_przeplywow!P47</f>
        <v>0</v>
      </c>
      <c r="Q44" s="66">
        <f>+Zal_1_WPF_wg_przeplywow!Q47</f>
        <v>0</v>
      </c>
      <c r="R44" s="66">
        <f>+Zal_1_WPF_wg_przeplywow!R47</f>
        <v>0</v>
      </c>
      <c r="S44" s="66">
        <f>+Zal_1_WPF_wg_przeplywow!S47</f>
        <v>0</v>
      </c>
      <c r="T44" s="66">
        <f>+Zal_1_WPF_wg_przeplywow!T47</f>
        <v>0</v>
      </c>
      <c r="U44" s="66">
        <f>+Zal_1_WPF_wg_przeplywow!U47</f>
        <v>0</v>
      </c>
      <c r="V44" s="66">
        <f>+Zal_1_WPF_wg_przeplywow!V47</f>
        <v>0</v>
      </c>
      <c r="W44" s="66">
        <f>+Zal_1_WPF_wg_przeplywow!W47</f>
        <v>0</v>
      </c>
      <c r="X44" s="66">
        <f>+Zal_1_WPF_wg_przeplywow!X47</f>
        <v>0</v>
      </c>
      <c r="Y44" s="66">
        <f>+Zal_1_WPF_wg_przeplywow!Y47</f>
        <v>0</v>
      </c>
      <c r="Z44" s="66">
        <f>+Zal_1_WPF_wg_przeplywow!Z47</f>
        <v>0</v>
      </c>
      <c r="AA44" s="66">
        <f>+Zal_1_WPF_wg_przeplywow!AA47</f>
        <v>0</v>
      </c>
      <c r="AB44" s="66">
        <f>+Zal_1_WPF_wg_przeplywow!AB47</f>
        <v>0</v>
      </c>
      <c r="AC44" s="66">
        <f>+Zal_1_WPF_wg_przeplywow!AC47</f>
        <v>0</v>
      </c>
      <c r="AD44" s="66">
        <f>+Zal_1_WPF_wg_przeplywow!AD47</f>
        <v>0</v>
      </c>
      <c r="AE44" s="66">
        <f>+Zal_1_WPF_wg_przeplywow!AE47</f>
        <v>0</v>
      </c>
      <c r="AF44" s="66">
        <f>+Zal_1_WPF_wg_przeplywow!AF47</f>
        <v>0</v>
      </c>
      <c r="AG44" s="66">
        <f>+Zal_1_WPF_wg_przeplywow!AG47</f>
        <v>0</v>
      </c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33" ht="14.25">
      <c r="A45" s="40" t="s">
        <v>13</v>
      </c>
      <c r="B45" s="41" t="s">
        <v>68</v>
      </c>
      <c r="C45" s="35">
        <f>+Zal_1_WPF_wg_przeplywow!C48</f>
        <v>0</v>
      </c>
      <c r="D45" s="35">
        <f>+Zal_1_WPF_wg_przeplywow!D48</f>
        <v>0</v>
      </c>
      <c r="E45" s="35">
        <f>+Zal_1_WPF_wg_przeplywow!E48</f>
        <v>0</v>
      </c>
      <c r="F45" s="35">
        <f>+Zal_1_WPF_wg_przeplywow!F48</f>
        <v>0</v>
      </c>
      <c r="G45" s="35">
        <f>+Zal_1_WPF_wg_przeplywow!G48</f>
        <v>0</v>
      </c>
      <c r="H45" s="35">
        <f>+Zal_1_WPF_wg_przeplywow!H48</f>
        <v>0</v>
      </c>
      <c r="I45" s="35">
        <f>+Zal_1_WPF_wg_przeplywow!I48</f>
        <v>0</v>
      </c>
      <c r="J45" s="35">
        <f>+Zal_1_WPF_wg_przeplywow!J48</f>
        <v>0</v>
      </c>
      <c r="K45" s="35">
        <f>+Zal_1_WPF_wg_przeplywow!K48</f>
        <v>0</v>
      </c>
      <c r="L45" s="35">
        <f>+Zal_1_WPF_wg_przeplywow!L48</f>
        <v>0</v>
      </c>
      <c r="M45" s="35">
        <f>+Zal_1_WPF_wg_przeplywow!M48</f>
        <v>0</v>
      </c>
      <c r="N45" s="35">
        <f>+Zal_1_WPF_wg_przeplywow!N48</f>
        <v>0</v>
      </c>
      <c r="O45" s="35">
        <f>+Zal_1_WPF_wg_przeplywow!O48</f>
        <v>0</v>
      </c>
      <c r="P45" s="35">
        <f>+Zal_1_WPF_wg_przeplywow!P48</f>
        <v>0</v>
      </c>
      <c r="Q45" s="35">
        <f>+Zal_1_WPF_wg_przeplywow!Q48</f>
        <v>0</v>
      </c>
      <c r="R45" s="35">
        <f>+Zal_1_WPF_wg_przeplywow!R48</f>
        <v>0</v>
      </c>
      <c r="S45" s="35">
        <f>+Zal_1_WPF_wg_przeplywow!S48</f>
        <v>0</v>
      </c>
      <c r="T45" s="35">
        <f>+Zal_1_WPF_wg_przeplywow!T48</f>
        <v>0</v>
      </c>
      <c r="U45" s="35">
        <f>+Zal_1_WPF_wg_przeplywow!U48</f>
        <v>0</v>
      </c>
      <c r="V45" s="35">
        <f>+Zal_1_WPF_wg_przeplywow!V48</f>
        <v>0</v>
      </c>
      <c r="W45" s="35">
        <f>+Zal_1_WPF_wg_przeplywow!W48</f>
        <v>0</v>
      </c>
      <c r="X45" s="35">
        <f>+Zal_1_WPF_wg_przeplywow!X48</f>
        <v>0</v>
      </c>
      <c r="Y45" s="35">
        <f>+Zal_1_WPF_wg_przeplywow!Y48</f>
        <v>0</v>
      </c>
      <c r="Z45" s="35">
        <f>+Zal_1_WPF_wg_przeplywow!Z48</f>
        <v>0</v>
      </c>
      <c r="AA45" s="35">
        <f>+Zal_1_WPF_wg_przeplywow!AA48</f>
        <v>0</v>
      </c>
      <c r="AB45" s="35">
        <f>+Zal_1_WPF_wg_przeplywow!AB48</f>
        <v>0</v>
      </c>
      <c r="AC45" s="35">
        <f>+Zal_1_WPF_wg_przeplywow!AC48</f>
        <v>0</v>
      </c>
      <c r="AD45" s="35">
        <f>+Zal_1_WPF_wg_przeplywow!AD48</f>
        <v>0</v>
      </c>
      <c r="AE45" s="35">
        <f>+Zal_1_WPF_wg_przeplywow!AE48</f>
        <v>0</v>
      </c>
      <c r="AF45" s="35">
        <f>+Zal_1_WPF_wg_przeplywow!AF48</f>
        <v>0</v>
      </c>
      <c r="AG45" s="35">
        <f>+Zal_1_WPF_wg_przeplywow!AG48</f>
        <v>0</v>
      </c>
    </row>
    <row r="46" spans="1:33" ht="14.25">
      <c r="A46" s="44" t="s">
        <v>15</v>
      </c>
      <c r="B46" s="67" t="s">
        <v>69</v>
      </c>
      <c r="C46" s="68">
        <f>+Zal_1_WPF_wg_przeplywow!C59</f>
        <v>0.3754</v>
      </c>
      <c r="D46" s="68">
        <f>+Zal_1_WPF_wg_przeplywow!D59</f>
        <v>0.3747</v>
      </c>
      <c r="E46" s="68">
        <f>+Zal_1_WPF_wg_przeplywow!E59</f>
        <v>0.3577</v>
      </c>
      <c r="F46" s="68">
        <f>+Zal_1_WPF_wg_przeplywow!F59</f>
        <v>0.3188</v>
      </c>
      <c r="G46" s="68">
        <f>+Zal_1_WPF_wg_przeplywow!G59</f>
        <v>0.2771</v>
      </c>
      <c r="H46" s="68">
        <f>+Zal_1_WPF_wg_przeplywow!H59</f>
        <v>0.2128</v>
      </c>
      <c r="I46" s="68">
        <f>+Zal_1_WPF_wg_przeplywow!I59</f>
        <v>0.136</v>
      </c>
      <c r="J46" s="68">
        <f>+Zal_1_WPF_wg_przeplywow!J59</f>
        <v>0.1209</v>
      </c>
      <c r="K46" s="68">
        <f>+Zal_1_WPF_wg_przeplywow!K59</f>
        <v>0.0457</v>
      </c>
      <c r="L46" s="68">
        <f>+Zal_1_WPF_wg_przeplywow!L59</f>
        <v>0</v>
      </c>
      <c r="M46" s="68">
        <f>+Zal_1_WPF_wg_przeplywow!M59</f>
        <v>0</v>
      </c>
      <c r="N46" s="68">
        <f>+Zal_1_WPF_wg_przeplywow!N59</f>
        <v>0</v>
      </c>
      <c r="O46" s="68">
        <f>+Zal_1_WPF_wg_przeplywow!O59</f>
        <v>0</v>
      </c>
      <c r="P46" s="68">
        <f>+Zal_1_WPF_wg_przeplywow!P59</f>
        <v>0</v>
      </c>
      <c r="Q46" s="68">
        <f>+Zal_1_WPF_wg_przeplywow!Q59</f>
        <v>0</v>
      </c>
      <c r="R46" s="68">
        <f>+Zal_1_WPF_wg_przeplywow!R59</f>
        <v>0</v>
      </c>
      <c r="S46" s="68">
        <f>+Zal_1_WPF_wg_przeplywow!S59</f>
        <v>0</v>
      </c>
      <c r="T46" s="68">
        <f>+Zal_1_WPF_wg_przeplywow!T59</f>
        <v>0</v>
      </c>
      <c r="U46" s="68">
        <f>+Zal_1_WPF_wg_przeplywow!U59</f>
        <v>0</v>
      </c>
      <c r="V46" s="68">
        <f>+Zal_1_WPF_wg_przeplywow!V59</f>
        <v>0</v>
      </c>
      <c r="W46" s="68">
        <f>+Zal_1_WPF_wg_przeplywow!W59</f>
        <v>0</v>
      </c>
      <c r="X46" s="68">
        <f>+Zal_1_WPF_wg_przeplywow!X59</f>
        <v>0</v>
      </c>
      <c r="Y46" s="68">
        <f>+Zal_1_WPF_wg_przeplywow!Y59</f>
        <v>0</v>
      </c>
      <c r="Z46" s="68">
        <f>+Zal_1_WPF_wg_przeplywow!Z59</f>
        <v>0</v>
      </c>
      <c r="AA46" s="68">
        <f>+Zal_1_WPF_wg_przeplywow!AA59</f>
        <v>0</v>
      </c>
      <c r="AB46" s="68">
        <f>+Zal_1_WPF_wg_przeplywow!AB59</f>
        <v>0</v>
      </c>
      <c r="AC46" s="68">
        <f>+Zal_1_WPF_wg_przeplywow!AC59</f>
        <v>0</v>
      </c>
      <c r="AD46" s="68">
        <f>+Zal_1_WPF_wg_przeplywow!AD59</f>
        <v>0</v>
      </c>
      <c r="AE46" s="68">
        <f>+Zal_1_WPF_wg_przeplywow!AE59</f>
        <v>0</v>
      </c>
      <c r="AF46" s="68">
        <f>+Zal_1_WPF_wg_przeplywow!AF59</f>
        <v>0</v>
      </c>
      <c r="AG46" s="68">
        <f>+Zal_1_WPF_wg_przeplywow!AG59</f>
        <v>0</v>
      </c>
    </row>
    <row r="47" spans="1:33" ht="24" outlineLevel="1">
      <c r="A47" s="52" t="s">
        <v>70</v>
      </c>
      <c r="B47" s="57" t="s">
        <v>71</v>
      </c>
      <c r="C47" s="58">
        <f>+Zal_1_WPF_wg_przeplywow!C60</f>
        <v>0.3754</v>
      </c>
      <c r="D47" s="58">
        <f>+Zal_1_WPF_wg_przeplywow!D60</f>
        <v>0.3747</v>
      </c>
      <c r="E47" s="58">
        <f>+Zal_1_WPF_wg_przeplywow!E60</f>
        <v>0.3577</v>
      </c>
      <c r="F47" s="58">
        <f>+Zal_1_WPF_wg_przeplywow!F60</f>
        <v>0.3188</v>
      </c>
      <c r="G47" s="58">
        <f>+Zal_1_WPF_wg_przeplywow!G60</f>
        <v>0.2771</v>
      </c>
      <c r="H47" s="58">
        <f>+Zal_1_WPF_wg_przeplywow!H60</f>
        <v>0.2128</v>
      </c>
      <c r="I47" s="58">
        <f>+Zal_1_WPF_wg_przeplywow!I60</f>
        <v>0.136</v>
      </c>
      <c r="J47" s="58">
        <f>+Zal_1_WPF_wg_przeplywow!J60</f>
        <v>0.1209</v>
      </c>
      <c r="K47" s="58">
        <f>+Zal_1_WPF_wg_przeplywow!K60</f>
        <v>0.0457</v>
      </c>
      <c r="L47" s="58">
        <f>+Zal_1_WPF_wg_przeplywow!L60</f>
        <v>0</v>
      </c>
      <c r="M47" s="58">
        <f>+Zal_1_WPF_wg_przeplywow!M60</f>
        <v>0</v>
      </c>
      <c r="N47" s="58">
        <f>+Zal_1_WPF_wg_przeplywow!N60</f>
        <v>0</v>
      </c>
      <c r="O47" s="58">
        <f>+Zal_1_WPF_wg_przeplywow!O60</f>
        <v>0</v>
      </c>
      <c r="P47" s="58">
        <f>+Zal_1_WPF_wg_przeplywow!P60</f>
        <v>0</v>
      </c>
      <c r="Q47" s="58">
        <f>+Zal_1_WPF_wg_przeplywow!Q60</f>
        <v>0</v>
      </c>
      <c r="R47" s="58">
        <f>+Zal_1_WPF_wg_przeplywow!R60</f>
        <v>0</v>
      </c>
      <c r="S47" s="58">
        <f>+Zal_1_WPF_wg_przeplywow!S60</f>
        <v>0</v>
      </c>
      <c r="T47" s="58">
        <f>+Zal_1_WPF_wg_przeplywow!T60</f>
        <v>0</v>
      </c>
      <c r="U47" s="58">
        <f>+Zal_1_WPF_wg_przeplywow!U60</f>
        <v>0</v>
      </c>
      <c r="V47" s="58">
        <f>+Zal_1_WPF_wg_przeplywow!V60</f>
        <v>0</v>
      </c>
      <c r="W47" s="58">
        <f>+Zal_1_WPF_wg_przeplywow!W60</f>
        <v>0</v>
      </c>
      <c r="X47" s="58">
        <f>+Zal_1_WPF_wg_przeplywow!X60</f>
        <v>0</v>
      </c>
      <c r="Y47" s="58">
        <f>+Zal_1_WPF_wg_przeplywow!Y60</f>
        <v>0</v>
      </c>
      <c r="Z47" s="58">
        <f>+Zal_1_WPF_wg_przeplywow!Z60</f>
        <v>0</v>
      </c>
      <c r="AA47" s="58">
        <f>+Zal_1_WPF_wg_przeplywow!AA60</f>
        <v>0</v>
      </c>
      <c r="AB47" s="58">
        <f>+Zal_1_WPF_wg_przeplywow!AB60</f>
        <v>0</v>
      </c>
      <c r="AC47" s="58">
        <f>+Zal_1_WPF_wg_przeplywow!AC60</f>
        <v>0</v>
      </c>
      <c r="AD47" s="58">
        <f>+Zal_1_WPF_wg_przeplywow!AD60</f>
        <v>0</v>
      </c>
      <c r="AE47" s="58">
        <f>+Zal_1_WPF_wg_przeplywow!AE60</f>
        <v>0</v>
      </c>
      <c r="AF47" s="58">
        <f>+Zal_1_WPF_wg_przeplywow!AF60</f>
        <v>0</v>
      </c>
      <c r="AG47" s="58">
        <f>+Zal_1_WPF_wg_przeplywow!AG60</f>
        <v>0</v>
      </c>
    </row>
    <row r="48" spans="1:33" ht="24" outlineLevel="1">
      <c r="A48" s="52" t="s">
        <v>16</v>
      </c>
      <c r="B48" s="57" t="s">
        <v>72</v>
      </c>
      <c r="C48" s="58">
        <f>+Zal_1_WPF_wg_przeplywow!C61</f>
        <v>0.1365</v>
      </c>
      <c r="D48" s="58">
        <f>+Zal_1_WPF_wg_przeplywow!D61</f>
        <v>0.0442</v>
      </c>
      <c r="E48" s="58">
        <f>+Zal_1_WPF_wg_przeplywow!E61</f>
        <v>0.061</v>
      </c>
      <c r="F48" s="58">
        <f>+Zal_1_WPF_wg_przeplywow!F61</f>
        <v>0.0584</v>
      </c>
      <c r="G48" s="58">
        <f>+Zal_1_WPF_wg_przeplywow!G61</f>
        <v>0.0618</v>
      </c>
      <c r="H48" s="58">
        <f>+Zal_1_WPF_wg_przeplywow!H61</f>
        <v>0.0649</v>
      </c>
      <c r="I48" s="58">
        <f>+Zal_1_WPF_wg_przeplywow!I61</f>
        <v>0.0734</v>
      </c>
      <c r="J48" s="58">
        <f>+Zal_1_WPF_wg_przeplywow!J61</f>
        <v>0.0203</v>
      </c>
      <c r="K48" s="58">
        <f>+Zal_1_WPF_wg_przeplywow!K61</f>
        <v>0.0728</v>
      </c>
      <c r="L48" s="58">
        <f>+Zal_1_WPF_wg_przeplywow!L61</f>
        <v>0.0476</v>
      </c>
      <c r="M48" s="58">
        <f>+Zal_1_WPF_wg_przeplywow!M61</f>
        <v>0</v>
      </c>
      <c r="N48" s="58">
        <f>+Zal_1_WPF_wg_przeplywow!N61</f>
        <v>0</v>
      </c>
      <c r="O48" s="58">
        <f>+Zal_1_WPF_wg_przeplywow!O61</f>
        <v>0</v>
      </c>
      <c r="P48" s="58">
        <f>+Zal_1_WPF_wg_przeplywow!P61</f>
        <v>0</v>
      </c>
      <c r="Q48" s="58">
        <f>+Zal_1_WPF_wg_przeplywow!Q61</f>
        <v>0</v>
      </c>
      <c r="R48" s="58">
        <f>+Zal_1_WPF_wg_przeplywow!R61</f>
        <v>0</v>
      </c>
      <c r="S48" s="58">
        <f>+Zal_1_WPF_wg_przeplywow!S61</f>
        <v>0</v>
      </c>
      <c r="T48" s="58">
        <f>+Zal_1_WPF_wg_przeplywow!T61</f>
        <v>0</v>
      </c>
      <c r="U48" s="58">
        <f>+Zal_1_WPF_wg_przeplywow!U61</f>
        <v>0</v>
      </c>
      <c r="V48" s="58">
        <f>+Zal_1_WPF_wg_przeplywow!V61</f>
        <v>0</v>
      </c>
      <c r="W48" s="58">
        <f>+Zal_1_WPF_wg_przeplywow!W61</f>
        <v>0</v>
      </c>
      <c r="X48" s="58">
        <f>+Zal_1_WPF_wg_przeplywow!X61</f>
        <v>0</v>
      </c>
      <c r="Y48" s="58">
        <f>+Zal_1_WPF_wg_przeplywow!Y61</f>
        <v>0</v>
      </c>
      <c r="Z48" s="58">
        <f>+Zal_1_WPF_wg_przeplywow!Z61</f>
        <v>0</v>
      </c>
      <c r="AA48" s="58">
        <f>+Zal_1_WPF_wg_przeplywow!AA61</f>
        <v>0</v>
      </c>
      <c r="AB48" s="58">
        <f>+Zal_1_WPF_wg_przeplywow!AB61</f>
        <v>0</v>
      </c>
      <c r="AC48" s="58">
        <f>+Zal_1_WPF_wg_przeplywow!AC61</f>
        <v>0</v>
      </c>
      <c r="AD48" s="58">
        <f>+Zal_1_WPF_wg_przeplywow!AD61</f>
        <v>0</v>
      </c>
      <c r="AE48" s="58">
        <f>+Zal_1_WPF_wg_przeplywow!AE61</f>
        <v>0</v>
      </c>
      <c r="AF48" s="58">
        <f>+Zal_1_WPF_wg_przeplywow!AF61</f>
        <v>0</v>
      </c>
      <c r="AG48" s="58">
        <f>+Zal_1_WPF_wg_przeplywow!AG61</f>
        <v>0</v>
      </c>
    </row>
    <row r="49" spans="1:33" ht="24" outlineLevel="1">
      <c r="A49" s="65" t="s">
        <v>73</v>
      </c>
      <c r="B49" s="69" t="s">
        <v>74</v>
      </c>
      <c r="C49" s="70">
        <f>+Zal_1_WPF_wg_przeplywow!C62</f>
        <v>0.1365</v>
      </c>
      <c r="D49" s="70">
        <f>+Zal_1_WPF_wg_przeplywow!D62</f>
        <v>0.0442</v>
      </c>
      <c r="E49" s="70">
        <f>+Zal_1_WPF_wg_przeplywow!E62</f>
        <v>0.061</v>
      </c>
      <c r="F49" s="70">
        <f>+Zal_1_WPF_wg_przeplywow!F62</f>
        <v>0.0584</v>
      </c>
      <c r="G49" s="70">
        <f>+Zal_1_WPF_wg_przeplywow!G62</f>
        <v>0.0618</v>
      </c>
      <c r="H49" s="70">
        <f>+Zal_1_WPF_wg_przeplywow!H62</f>
        <v>0.0649</v>
      </c>
      <c r="I49" s="70">
        <f>+Zal_1_WPF_wg_przeplywow!I62</f>
        <v>0.0734</v>
      </c>
      <c r="J49" s="70">
        <f>+Zal_1_WPF_wg_przeplywow!J62</f>
        <v>0.0203</v>
      </c>
      <c r="K49" s="70">
        <f>+Zal_1_WPF_wg_przeplywow!K62</f>
        <v>0.0728</v>
      </c>
      <c r="L49" s="70">
        <f>+Zal_1_WPF_wg_przeplywow!L62</f>
        <v>0.0476</v>
      </c>
      <c r="M49" s="70">
        <f>+Zal_1_WPF_wg_przeplywow!M62</f>
        <v>0</v>
      </c>
      <c r="N49" s="70">
        <f>+Zal_1_WPF_wg_przeplywow!N62</f>
        <v>0</v>
      </c>
      <c r="O49" s="70">
        <f>+Zal_1_WPF_wg_przeplywow!O62</f>
        <v>0</v>
      </c>
      <c r="P49" s="70">
        <f>+Zal_1_WPF_wg_przeplywow!P62</f>
        <v>0</v>
      </c>
      <c r="Q49" s="70">
        <f>+Zal_1_WPF_wg_przeplywow!Q62</f>
        <v>0</v>
      </c>
      <c r="R49" s="70">
        <f>+Zal_1_WPF_wg_przeplywow!R62</f>
        <v>0</v>
      </c>
      <c r="S49" s="70">
        <f>+Zal_1_WPF_wg_przeplywow!S62</f>
        <v>0</v>
      </c>
      <c r="T49" s="70">
        <f>+Zal_1_WPF_wg_przeplywow!T62</f>
        <v>0</v>
      </c>
      <c r="U49" s="70">
        <f>+Zal_1_WPF_wg_przeplywow!U62</f>
        <v>0</v>
      </c>
      <c r="V49" s="70">
        <f>+Zal_1_WPF_wg_przeplywow!V62</f>
        <v>0</v>
      </c>
      <c r="W49" s="70">
        <f>+Zal_1_WPF_wg_przeplywow!W62</f>
        <v>0</v>
      </c>
      <c r="X49" s="70">
        <f>+Zal_1_WPF_wg_przeplywow!X62</f>
        <v>0</v>
      </c>
      <c r="Y49" s="70">
        <f>+Zal_1_WPF_wg_przeplywow!Y62</f>
        <v>0</v>
      </c>
      <c r="Z49" s="70">
        <f>+Zal_1_WPF_wg_przeplywow!Z62</f>
        <v>0</v>
      </c>
      <c r="AA49" s="70">
        <f>+Zal_1_WPF_wg_przeplywow!AA62</f>
        <v>0</v>
      </c>
      <c r="AB49" s="70">
        <f>+Zal_1_WPF_wg_przeplywow!AB62</f>
        <v>0</v>
      </c>
      <c r="AC49" s="70">
        <f>+Zal_1_WPF_wg_przeplywow!AC62</f>
        <v>0</v>
      </c>
      <c r="AD49" s="70">
        <f>+Zal_1_WPF_wg_przeplywow!AD62</f>
        <v>0</v>
      </c>
      <c r="AE49" s="70">
        <f>+Zal_1_WPF_wg_przeplywow!AE62</f>
        <v>0</v>
      </c>
      <c r="AF49" s="70">
        <f>+Zal_1_WPF_wg_przeplywow!AF62</f>
        <v>0</v>
      </c>
      <c r="AG49" s="70">
        <f>+Zal_1_WPF_wg_przeplywow!AG62</f>
        <v>0</v>
      </c>
    </row>
    <row r="50" spans="1:33" ht="36">
      <c r="A50" s="40" t="s">
        <v>18</v>
      </c>
      <c r="B50" s="41" t="s">
        <v>139</v>
      </c>
      <c r="C50" s="36">
        <f>+Zal_1_WPF_wg_przeplywow!C49</f>
        <v>0</v>
      </c>
      <c r="D50" s="36">
        <f>+Zal_1_WPF_wg_przeplywow!D49</f>
        <v>0</v>
      </c>
      <c r="E50" s="36">
        <f>+Zal_1_WPF_wg_przeplywow!E49</f>
        <v>0</v>
      </c>
      <c r="F50" s="36">
        <f>+Zal_1_WPF_wg_przeplywow!F49</f>
        <v>0</v>
      </c>
      <c r="G50" s="36">
        <f>+Zal_1_WPF_wg_przeplywow!G49</f>
        <v>0</v>
      </c>
      <c r="H50" s="36">
        <f>+Zal_1_WPF_wg_przeplywow!H49</f>
        <v>0</v>
      </c>
      <c r="I50" s="36">
        <f>+Zal_1_WPF_wg_przeplywow!I49</f>
        <v>0</v>
      </c>
      <c r="J50" s="36">
        <f>+Zal_1_WPF_wg_przeplywow!J49</f>
        <v>0</v>
      </c>
      <c r="K50" s="36">
        <f>+Zal_1_WPF_wg_przeplywow!K49</f>
        <v>0</v>
      </c>
      <c r="L50" s="36">
        <f>+Zal_1_WPF_wg_przeplywow!L49</f>
        <v>0</v>
      </c>
      <c r="M50" s="36">
        <f>+Zal_1_WPF_wg_przeplywow!M49</f>
        <v>0</v>
      </c>
      <c r="N50" s="36">
        <f>+Zal_1_WPF_wg_przeplywow!N49</f>
        <v>0</v>
      </c>
      <c r="O50" s="36">
        <f>+Zal_1_WPF_wg_przeplywow!O49</f>
        <v>0</v>
      </c>
      <c r="P50" s="36">
        <f>+Zal_1_WPF_wg_przeplywow!P49</f>
        <v>0</v>
      </c>
      <c r="Q50" s="36">
        <f>+Zal_1_WPF_wg_przeplywow!Q49</f>
        <v>0</v>
      </c>
      <c r="R50" s="36">
        <f>+Zal_1_WPF_wg_przeplywow!R49</f>
        <v>0</v>
      </c>
      <c r="S50" s="36">
        <f>+Zal_1_WPF_wg_przeplywow!S49</f>
        <v>0</v>
      </c>
      <c r="T50" s="36">
        <f>+Zal_1_WPF_wg_przeplywow!T49</f>
        <v>0</v>
      </c>
      <c r="U50" s="36">
        <f>+Zal_1_WPF_wg_przeplywow!U49</f>
        <v>0</v>
      </c>
      <c r="V50" s="36">
        <f>+Zal_1_WPF_wg_przeplywow!V49</f>
        <v>0</v>
      </c>
      <c r="W50" s="36">
        <f>+Zal_1_WPF_wg_przeplywow!W49</f>
        <v>0</v>
      </c>
      <c r="X50" s="36">
        <f>+Zal_1_WPF_wg_przeplywow!X49</f>
        <v>0</v>
      </c>
      <c r="Y50" s="36">
        <f>+Zal_1_WPF_wg_przeplywow!Y49</f>
        <v>0</v>
      </c>
      <c r="Z50" s="36">
        <f>+Zal_1_WPF_wg_przeplywow!Z49</f>
        <v>0</v>
      </c>
      <c r="AA50" s="36">
        <f>+Zal_1_WPF_wg_przeplywow!AA49</f>
        <v>0</v>
      </c>
      <c r="AB50" s="36">
        <f>+Zal_1_WPF_wg_przeplywow!AB49</f>
        <v>0</v>
      </c>
      <c r="AC50" s="36">
        <f>+Zal_1_WPF_wg_przeplywow!AC49</f>
        <v>0</v>
      </c>
      <c r="AD50" s="36">
        <f>+Zal_1_WPF_wg_przeplywow!AD49</f>
        <v>0</v>
      </c>
      <c r="AE50" s="36">
        <f>+Zal_1_WPF_wg_przeplywow!AE49</f>
        <v>0</v>
      </c>
      <c r="AF50" s="36">
        <f>+Zal_1_WPF_wg_przeplywow!AF49</f>
        <v>0</v>
      </c>
      <c r="AG50" s="36">
        <f>+Zal_1_WPF_wg_przeplywow!AG49</f>
        <v>0</v>
      </c>
    </row>
    <row r="51" spans="1:33" ht="14.25" outlineLevel="1">
      <c r="A51" s="52"/>
      <c r="B51" s="59" t="s">
        <v>54</v>
      </c>
      <c r="C51" s="58">
        <f>+Zal_1_WPF_wg_przeplywow!C63</f>
        <v>0.11</v>
      </c>
      <c r="D51" s="58">
        <f>+Zal_1_WPF_wg_przeplywow!D63</f>
        <v>0.0934</v>
      </c>
      <c r="E51" s="58">
        <f>+Zal_1_WPF_wg_przeplywow!E63</f>
        <v>0.064</v>
      </c>
      <c r="F51" s="58">
        <f>+Zal_1_WPF_wg_przeplywow!F63</f>
        <v>0.0766</v>
      </c>
      <c r="G51" s="58">
        <f>+Zal_1_WPF_wg_przeplywow!G63</f>
        <v>0.0661</v>
      </c>
      <c r="H51" s="58">
        <f>+Zal_1_WPF_wg_przeplywow!H63</f>
        <v>0.0784</v>
      </c>
      <c r="I51" s="58">
        <f>+Zal_1_WPF_wg_przeplywow!I63</f>
        <v>0.0941</v>
      </c>
      <c r="J51" s="58">
        <f>+Zal_1_WPF_wg_przeplywow!J63</f>
        <v>0.0599</v>
      </c>
      <c r="K51" s="58">
        <f>+Zal_1_WPF_wg_przeplywow!K63</f>
        <v>0.0935</v>
      </c>
      <c r="L51" s="58">
        <f>+Zal_1_WPF_wg_przeplywow!L63</f>
        <v>0.0997</v>
      </c>
      <c r="M51" s="58">
        <f>+Zal_1_WPF_wg_przeplywow!M63</f>
        <v>0</v>
      </c>
      <c r="N51" s="58">
        <f>+Zal_1_WPF_wg_przeplywow!N63</f>
        <v>0</v>
      </c>
      <c r="O51" s="58">
        <f>+Zal_1_WPF_wg_przeplywow!O63</f>
        <v>0</v>
      </c>
      <c r="P51" s="58">
        <f>+Zal_1_WPF_wg_przeplywow!P63</f>
        <v>0</v>
      </c>
      <c r="Q51" s="58">
        <f>+Zal_1_WPF_wg_przeplywow!Q63</f>
        <v>0</v>
      </c>
      <c r="R51" s="58">
        <f>+Zal_1_WPF_wg_przeplywow!R63</f>
        <v>0</v>
      </c>
      <c r="S51" s="58">
        <f>+Zal_1_WPF_wg_przeplywow!S63</f>
        <v>0</v>
      </c>
      <c r="T51" s="58">
        <f>+Zal_1_WPF_wg_przeplywow!T63</f>
        <v>0</v>
      </c>
      <c r="U51" s="58">
        <f>+Zal_1_WPF_wg_przeplywow!U63</f>
        <v>0</v>
      </c>
      <c r="V51" s="58">
        <f>+Zal_1_WPF_wg_przeplywow!V63</f>
        <v>0</v>
      </c>
      <c r="W51" s="58">
        <f>+Zal_1_WPF_wg_przeplywow!W63</f>
        <v>0</v>
      </c>
      <c r="X51" s="58">
        <f>+Zal_1_WPF_wg_przeplywow!X63</f>
        <v>0</v>
      </c>
      <c r="Y51" s="58">
        <f>+Zal_1_WPF_wg_przeplywow!Y63</f>
        <v>0</v>
      </c>
      <c r="Z51" s="58">
        <f>+Zal_1_WPF_wg_przeplywow!Z63</f>
        <v>0</v>
      </c>
      <c r="AA51" s="58">
        <f>+Zal_1_WPF_wg_przeplywow!AA63</f>
        <v>0</v>
      </c>
      <c r="AB51" s="58">
        <f>+Zal_1_WPF_wg_przeplywow!AB63</f>
        <v>0</v>
      </c>
      <c r="AC51" s="58">
        <f>+Zal_1_WPF_wg_przeplywow!AC63</f>
        <v>0</v>
      </c>
      <c r="AD51" s="58">
        <f>+Zal_1_WPF_wg_przeplywow!AD63</f>
        <v>0</v>
      </c>
      <c r="AE51" s="58">
        <f>+Zal_1_WPF_wg_przeplywow!AE63</f>
        <v>0</v>
      </c>
      <c r="AF51" s="58">
        <f>+Zal_1_WPF_wg_przeplywow!AF63</f>
        <v>0</v>
      </c>
      <c r="AG51" s="58">
        <f>+Zal_1_WPF_wg_przeplywow!AG63</f>
        <v>0</v>
      </c>
    </row>
    <row r="52" spans="1:33" ht="24">
      <c r="A52" s="44" t="s">
        <v>19</v>
      </c>
      <c r="B52" s="67" t="s">
        <v>239</v>
      </c>
      <c r="C52" s="68">
        <f>+Zal_1_WPF_wg_przeplywow!C64</f>
        <v>0.0705</v>
      </c>
      <c r="D52" s="68">
        <f>+Zal_1_WPF_wg_przeplywow!D64</f>
        <v>0.0719</v>
      </c>
      <c r="E52" s="68">
        <f>+Zal_1_WPF_wg_przeplywow!E64</f>
        <v>0.0859</v>
      </c>
      <c r="F52" s="68">
        <f>+Zal_1_WPF_wg_przeplywow!F64</f>
        <v>0.0891</v>
      </c>
      <c r="G52" s="68">
        <f>+Zal_1_WPF_wg_przeplywow!G64</f>
        <v>0.078</v>
      </c>
      <c r="H52" s="68">
        <f>+Zal_1_WPF_wg_przeplywow!H64</f>
        <v>0.0689</v>
      </c>
      <c r="I52" s="68">
        <f>+Zal_1_WPF_wg_przeplywow!I64</f>
        <v>0.0737</v>
      </c>
      <c r="J52" s="68">
        <f>+Zal_1_WPF_wg_przeplywow!J64</f>
        <v>0.0795</v>
      </c>
      <c r="K52" s="68">
        <f>+Zal_1_WPF_wg_przeplywow!K64</f>
        <v>0.0775</v>
      </c>
      <c r="L52" s="68">
        <f>+Zal_1_WPF_wg_przeplywow!L64</f>
        <v>0.0825</v>
      </c>
      <c r="M52" s="68">
        <f>+Zal_1_WPF_wg_przeplywow!M64</f>
        <v>0</v>
      </c>
      <c r="N52" s="68">
        <f>+Zal_1_WPF_wg_przeplywow!N64</f>
        <v>0</v>
      </c>
      <c r="O52" s="68">
        <f>+Zal_1_WPF_wg_przeplywow!O64</f>
        <v>0</v>
      </c>
      <c r="P52" s="68">
        <f>+Zal_1_WPF_wg_przeplywow!P64</f>
        <v>0</v>
      </c>
      <c r="Q52" s="68">
        <f>+Zal_1_WPF_wg_przeplywow!Q64</f>
        <v>0</v>
      </c>
      <c r="R52" s="68">
        <f>+Zal_1_WPF_wg_przeplywow!R64</f>
        <v>0</v>
      </c>
      <c r="S52" s="68">
        <f>+Zal_1_WPF_wg_przeplywow!S64</f>
        <v>0</v>
      </c>
      <c r="T52" s="68">
        <f>+Zal_1_WPF_wg_przeplywow!T64</f>
        <v>0</v>
      </c>
      <c r="U52" s="68">
        <f>+Zal_1_WPF_wg_przeplywow!U64</f>
        <v>0</v>
      </c>
      <c r="V52" s="68">
        <f>+Zal_1_WPF_wg_przeplywow!V64</f>
        <v>0</v>
      </c>
      <c r="W52" s="68">
        <f>+Zal_1_WPF_wg_przeplywow!W64</f>
        <v>0</v>
      </c>
      <c r="X52" s="68">
        <f>+Zal_1_WPF_wg_przeplywow!X64</f>
        <v>0</v>
      </c>
      <c r="Y52" s="68">
        <f>+Zal_1_WPF_wg_przeplywow!Y64</f>
        <v>0</v>
      </c>
      <c r="Z52" s="68">
        <f>+Zal_1_WPF_wg_przeplywow!Z64</f>
        <v>0</v>
      </c>
      <c r="AA52" s="68">
        <f>+Zal_1_WPF_wg_przeplywow!AA64</f>
        <v>0</v>
      </c>
      <c r="AB52" s="68">
        <f>+Zal_1_WPF_wg_przeplywow!AB64</f>
        <v>0</v>
      </c>
      <c r="AC52" s="68">
        <f>+Zal_1_WPF_wg_przeplywow!AC64</f>
        <v>0</v>
      </c>
      <c r="AD52" s="68">
        <f>+Zal_1_WPF_wg_przeplywow!AD64</f>
        <v>0</v>
      </c>
      <c r="AE52" s="68">
        <f>+Zal_1_WPF_wg_przeplywow!AE64</f>
        <v>0</v>
      </c>
      <c r="AF52" s="68">
        <f>+Zal_1_WPF_wg_przeplywow!AF64</f>
        <v>0</v>
      </c>
      <c r="AG52" s="68">
        <f>+Zal_1_WPF_wg_przeplywow!AG64</f>
        <v>0</v>
      </c>
    </row>
    <row r="53" spans="1:33" ht="24" outlineLevel="1">
      <c r="A53" s="204"/>
      <c r="B53" s="265" t="s">
        <v>379</v>
      </c>
      <c r="C53" s="205">
        <f>+Zal_1_WPF_wg_przeplywow!C65</f>
        <v>0.0705</v>
      </c>
      <c r="D53" s="205">
        <f>+Zal_1_WPF_wg_przeplywow!D65</f>
        <v>0.0719</v>
      </c>
      <c r="E53" s="205">
        <f>+Zal_1_WPF_wg_przeplywow!E65</f>
        <v>0.0859</v>
      </c>
      <c r="F53" s="205">
        <f>+Zal_1_WPF_wg_przeplywow!F65</f>
        <v>0.0891</v>
      </c>
      <c r="G53" s="205">
        <f>+Zal_1_WPF_wg_przeplywow!G65</f>
        <v>0.078</v>
      </c>
      <c r="H53" s="205">
        <f>+Zal_1_WPF_wg_przeplywow!H65</f>
        <v>0.0689</v>
      </c>
      <c r="I53" s="205">
        <f>+Zal_1_WPF_wg_przeplywow!I65</f>
        <v>0.0737</v>
      </c>
      <c r="J53" s="205">
        <f>+Zal_1_WPF_wg_przeplywow!J65</f>
        <v>0.0795</v>
      </c>
      <c r="K53" s="205">
        <f>+Zal_1_WPF_wg_przeplywow!K65</f>
        <v>0.0775</v>
      </c>
      <c r="L53" s="205">
        <f>+Zal_1_WPF_wg_przeplywow!L65</f>
        <v>0.0825</v>
      </c>
      <c r="M53" s="205">
        <f>+Zal_1_WPF_wg_przeplywow!M65</f>
        <v>0</v>
      </c>
      <c r="N53" s="205">
        <f>+Zal_1_WPF_wg_przeplywow!N65</f>
        <v>0</v>
      </c>
      <c r="O53" s="205">
        <f>+Zal_1_WPF_wg_przeplywow!O65</f>
        <v>0</v>
      </c>
      <c r="P53" s="205">
        <f>+Zal_1_WPF_wg_przeplywow!P65</f>
        <v>0</v>
      </c>
      <c r="Q53" s="205">
        <f>+Zal_1_WPF_wg_przeplywow!Q65</f>
        <v>0</v>
      </c>
      <c r="R53" s="205">
        <f>+Zal_1_WPF_wg_przeplywow!R65</f>
        <v>0</v>
      </c>
      <c r="S53" s="205">
        <f>+Zal_1_WPF_wg_przeplywow!S65</f>
        <v>0</v>
      </c>
      <c r="T53" s="205">
        <f>+Zal_1_WPF_wg_przeplywow!T65</f>
        <v>0</v>
      </c>
      <c r="U53" s="205">
        <f>+Zal_1_WPF_wg_przeplywow!U65</f>
        <v>0</v>
      </c>
      <c r="V53" s="205">
        <f>+Zal_1_WPF_wg_przeplywow!V65</f>
        <v>0</v>
      </c>
      <c r="W53" s="205">
        <f>+Zal_1_WPF_wg_przeplywow!W65</f>
        <v>0</v>
      </c>
      <c r="X53" s="205">
        <f>+Zal_1_WPF_wg_przeplywow!X65</f>
        <v>0</v>
      </c>
      <c r="Y53" s="205">
        <f>+Zal_1_WPF_wg_przeplywow!Y65</f>
        <v>0</v>
      </c>
      <c r="Z53" s="205">
        <f>+Zal_1_WPF_wg_przeplywow!Z65</f>
        <v>0</v>
      </c>
      <c r="AA53" s="205">
        <f>+Zal_1_WPF_wg_przeplywow!AA65</f>
        <v>0</v>
      </c>
      <c r="AB53" s="205">
        <f>+Zal_1_WPF_wg_przeplywow!AB65</f>
        <v>0</v>
      </c>
      <c r="AC53" s="205">
        <f>+Zal_1_WPF_wg_przeplywow!AC65</f>
        <v>0</v>
      </c>
      <c r="AD53" s="205">
        <f>+Zal_1_WPF_wg_przeplywow!AD65</f>
        <v>0</v>
      </c>
      <c r="AE53" s="205">
        <f>+Zal_1_WPF_wg_przeplywow!AE65</f>
        <v>0</v>
      </c>
      <c r="AF53" s="205">
        <f>+Zal_1_WPF_wg_przeplywow!AF65</f>
        <v>0</v>
      </c>
      <c r="AG53" s="205">
        <f>+Zal_1_WPF_wg_przeplywow!AG65</f>
        <v>0</v>
      </c>
    </row>
    <row r="54" spans="1:33" ht="24" outlineLevel="1">
      <c r="A54" s="52" t="s">
        <v>20</v>
      </c>
      <c r="B54" s="57" t="s">
        <v>53</v>
      </c>
      <c r="C54" s="58">
        <f>+Zal_1_WPF_wg_przeplywow!C66</f>
        <v>0.1365</v>
      </c>
      <c r="D54" s="58">
        <f>+Zal_1_WPF_wg_przeplywow!D66</f>
        <v>0.0442</v>
      </c>
      <c r="E54" s="58">
        <f>+Zal_1_WPF_wg_przeplywow!E66</f>
        <v>0.061</v>
      </c>
      <c r="F54" s="58">
        <f>+Zal_1_WPF_wg_przeplywow!F66</f>
        <v>0.0584</v>
      </c>
      <c r="G54" s="58">
        <f>+Zal_1_WPF_wg_przeplywow!G66</f>
        <v>0.0618</v>
      </c>
      <c r="H54" s="58">
        <f>+Zal_1_WPF_wg_przeplywow!H66</f>
        <v>0.0649</v>
      </c>
      <c r="I54" s="58">
        <f>+Zal_1_WPF_wg_przeplywow!I66</f>
        <v>0.0734</v>
      </c>
      <c r="J54" s="58">
        <f>+Zal_1_WPF_wg_przeplywow!J66</f>
        <v>0.0203</v>
      </c>
      <c r="K54" s="58">
        <f>+Zal_1_WPF_wg_przeplywow!K66</f>
        <v>0.0728</v>
      </c>
      <c r="L54" s="58">
        <f>+Zal_1_WPF_wg_przeplywow!L66</f>
        <v>0.0476</v>
      </c>
      <c r="M54" s="58">
        <f>+Zal_1_WPF_wg_przeplywow!M66</f>
        <v>0</v>
      </c>
      <c r="N54" s="58">
        <f>+Zal_1_WPF_wg_przeplywow!N66</f>
        <v>0</v>
      </c>
      <c r="O54" s="58">
        <f>+Zal_1_WPF_wg_przeplywow!O66</f>
        <v>0</v>
      </c>
      <c r="P54" s="58">
        <f>+Zal_1_WPF_wg_przeplywow!P66</f>
        <v>0</v>
      </c>
      <c r="Q54" s="58">
        <f>+Zal_1_WPF_wg_przeplywow!Q66</f>
        <v>0</v>
      </c>
      <c r="R54" s="58">
        <f>+Zal_1_WPF_wg_przeplywow!R66</f>
        <v>0</v>
      </c>
      <c r="S54" s="58">
        <f>+Zal_1_WPF_wg_przeplywow!S66</f>
        <v>0</v>
      </c>
      <c r="T54" s="58">
        <f>+Zal_1_WPF_wg_przeplywow!T66</f>
        <v>0</v>
      </c>
      <c r="U54" s="58">
        <f>+Zal_1_WPF_wg_przeplywow!U66</f>
        <v>0</v>
      </c>
      <c r="V54" s="58">
        <f>+Zal_1_WPF_wg_przeplywow!V66</f>
        <v>0</v>
      </c>
      <c r="W54" s="58">
        <f>+Zal_1_WPF_wg_przeplywow!W66</f>
        <v>0</v>
      </c>
      <c r="X54" s="58">
        <f>+Zal_1_WPF_wg_przeplywow!X66</f>
        <v>0</v>
      </c>
      <c r="Y54" s="58">
        <f>+Zal_1_WPF_wg_przeplywow!Y66</f>
        <v>0</v>
      </c>
      <c r="Z54" s="58">
        <f>+Zal_1_WPF_wg_przeplywow!Z66</f>
        <v>0</v>
      </c>
      <c r="AA54" s="58">
        <f>+Zal_1_WPF_wg_przeplywow!AA66</f>
        <v>0</v>
      </c>
      <c r="AB54" s="58">
        <f>+Zal_1_WPF_wg_przeplywow!AB66</f>
        <v>0</v>
      </c>
      <c r="AC54" s="58">
        <f>+Zal_1_WPF_wg_przeplywow!AC66</f>
        <v>0</v>
      </c>
      <c r="AD54" s="58">
        <f>+Zal_1_WPF_wg_przeplywow!AD66</f>
        <v>0</v>
      </c>
      <c r="AE54" s="58">
        <f>+Zal_1_WPF_wg_przeplywow!AE66</f>
        <v>0</v>
      </c>
      <c r="AF54" s="58">
        <f>+Zal_1_WPF_wg_przeplywow!AF66</f>
        <v>0</v>
      </c>
      <c r="AG54" s="58">
        <f>+Zal_1_WPF_wg_przeplywow!AG66</f>
        <v>0</v>
      </c>
    </row>
    <row r="55" spans="1:33" ht="24" outlineLevel="1">
      <c r="A55" s="52" t="s">
        <v>75</v>
      </c>
      <c r="B55" s="57" t="s">
        <v>76</v>
      </c>
      <c r="C55" s="60" t="str">
        <f>IF(C$54&lt;=C$52,"Spełnia","Nie spełnia")</f>
        <v>Nie spełnia</v>
      </c>
      <c r="D55" s="60" t="str">
        <f aca="true" t="shared" si="1" ref="D55:AG55">IF(D$54&lt;=D$52,"Spełnia","Nie spełnia")</f>
        <v>Spełnia</v>
      </c>
      <c r="E55" s="60" t="str">
        <f t="shared" si="1"/>
        <v>Spełnia</v>
      </c>
      <c r="F55" s="60" t="str">
        <f t="shared" si="1"/>
        <v>Spełnia</v>
      </c>
      <c r="G55" s="60" t="str">
        <f t="shared" si="1"/>
        <v>Spełnia</v>
      </c>
      <c r="H55" s="60" t="str">
        <f t="shared" si="1"/>
        <v>Spełnia</v>
      </c>
      <c r="I55" s="60" t="str">
        <f t="shared" si="1"/>
        <v>Spełnia</v>
      </c>
      <c r="J55" s="60" t="str">
        <f t="shared" si="1"/>
        <v>Spełnia</v>
      </c>
      <c r="K55" s="60" t="str">
        <f t="shared" si="1"/>
        <v>Spełnia</v>
      </c>
      <c r="L55" s="60" t="str">
        <f t="shared" si="1"/>
        <v>Spełnia</v>
      </c>
      <c r="M55" s="60" t="str">
        <f t="shared" si="1"/>
        <v>Spełnia</v>
      </c>
      <c r="N55" s="60" t="str">
        <f t="shared" si="1"/>
        <v>Spełnia</v>
      </c>
      <c r="O55" s="60" t="str">
        <f t="shared" si="1"/>
        <v>Spełnia</v>
      </c>
      <c r="P55" s="60" t="str">
        <f t="shared" si="1"/>
        <v>Spełnia</v>
      </c>
      <c r="Q55" s="60" t="str">
        <f t="shared" si="1"/>
        <v>Spełnia</v>
      </c>
      <c r="R55" s="60" t="str">
        <f t="shared" si="1"/>
        <v>Spełnia</v>
      </c>
      <c r="S55" s="60" t="str">
        <f t="shared" si="1"/>
        <v>Spełnia</v>
      </c>
      <c r="T55" s="60" t="str">
        <f t="shared" si="1"/>
        <v>Spełnia</v>
      </c>
      <c r="U55" s="60" t="str">
        <f t="shared" si="1"/>
        <v>Spełnia</v>
      </c>
      <c r="V55" s="60" t="str">
        <f t="shared" si="1"/>
        <v>Spełnia</v>
      </c>
      <c r="W55" s="60" t="str">
        <f t="shared" si="1"/>
        <v>Spełnia</v>
      </c>
      <c r="X55" s="60" t="str">
        <f t="shared" si="1"/>
        <v>Spełnia</v>
      </c>
      <c r="Y55" s="60" t="str">
        <f t="shared" si="1"/>
        <v>Spełnia</v>
      </c>
      <c r="Z55" s="60" t="str">
        <f t="shared" si="1"/>
        <v>Spełnia</v>
      </c>
      <c r="AA55" s="60" t="str">
        <f t="shared" si="1"/>
        <v>Spełnia</v>
      </c>
      <c r="AB55" s="60" t="str">
        <f t="shared" si="1"/>
        <v>Spełnia</v>
      </c>
      <c r="AC55" s="60" t="str">
        <f t="shared" si="1"/>
        <v>Spełnia</v>
      </c>
      <c r="AD55" s="60" t="str">
        <f t="shared" si="1"/>
        <v>Spełnia</v>
      </c>
      <c r="AE55" s="60" t="str">
        <f t="shared" si="1"/>
        <v>Spełnia</v>
      </c>
      <c r="AF55" s="60" t="str">
        <f t="shared" si="1"/>
        <v>Spełnia</v>
      </c>
      <c r="AG55" s="60" t="str">
        <f t="shared" si="1"/>
        <v>Spełnia</v>
      </c>
    </row>
    <row r="56" spans="1:33" ht="24" outlineLevel="1">
      <c r="A56" s="52" t="s">
        <v>217</v>
      </c>
      <c r="B56" s="57" t="s">
        <v>236</v>
      </c>
      <c r="C56" s="60" t="str">
        <f>IF(C$54&lt;=C$53,"Spełnia","Nie spełnia")</f>
        <v>Nie spełnia</v>
      </c>
      <c r="D56" s="60" t="str">
        <f aca="true" t="shared" si="2" ref="D56:AG56">IF(D$54&lt;=D$53,"Spełnia","Nie spełnia")</f>
        <v>Spełnia</v>
      </c>
      <c r="E56" s="60" t="str">
        <f t="shared" si="2"/>
        <v>Spełnia</v>
      </c>
      <c r="F56" s="60" t="str">
        <f t="shared" si="2"/>
        <v>Spełnia</v>
      </c>
      <c r="G56" s="60" t="str">
        <f t="shared" si="2"/>
        <v>Spełnia</v>
      </c>
      <c r="H56" s="60" t="str">
        <f t="shared" si="2"/>
        <v>Spełnia</v>
      </c>
      <c r="I56" s="60" t="str">
        <f t="shared" si="2"/>
        <v>Spełnia</v>
      </c>
      <c r="J56" s="60" t="str">
        <f t="shared" si="2"/>
        <v>Spełnia</v>
      </c>
      <c r="K56" s="60" t="str">
        <f t="shared" si="2"/>
        <v>Spełnia</v>
      </c>
      <c r="L56" s="60" t="str">
        <f t="shared" si="2"/>
        <v>Spełnia</v>
      </c>
      <c r="M56" s="60" t="str">
        <f t="shared" si="2"/>
        <v>Spełnia</v>
      </c>
      <c r="N56" s="60" t="str">
        <f t="shared" si="2"/>
        <v>Spełnia</v>
      </c>
      <c r="O56" s="60" t="str">
        <f t="shared" si="2"/>
        <v>Spełnia</v>
      </c>
      <c r="P56" s="60" t="str">
        <f t="shared" si="2"/>
        <v>Spełnia</v>
      </c>
      <c r="Q56" s="60" t="str">
        <f t="shared" si="2"/>
        <v>Spełnia</v>
      </c>
      <c r="R56" s="60" t="str">
        <f t="shared" si="2"/>
        <v>Spełnia</v>
      </c>
      <c r="S56" s="60" t="str">
        <f t="shared" si="2"/>
        <v>Spełnia</v>
      </c>
      <c r="T56" s="60" t="str">
        <f t="shared" si="2"/>
        <v>Spełnia</v>
      </c>
      <c r="U56" s="60" t="str">
        <f t="shared" si="2"/>
        <v>Spełnia</v>
      </c>
      <c r="V56" s="60" t="str">
        <f t="shared" si="2"/>
        <v>Spełnia</v>
      </c>
      <c r="W56" s="60" t="str">
        <f t="shared" si="2"/>
        <v>Spełnia</v>
      </c>
      <c r="X56" s="60" t="str">
        <f t="shared" si="2"/>
        <v>Spełnia</v>
      </c>
      <c r="Y56" s="60" t="str">
        <f t="shared" si="2"/>
        <v>Spełnia</v>
      </c>
      <c r="Z56" s="60" t="str">
        <f t="shared" si="2"/>
        <v>Spełnia</v>
      </c>
      <c r="AA56" s="60" t="str">
        <f t="shared" si="2"/>
        <v>Spełnia</v>
      </c>
      <c r="AB56" s="60" t="str">
        <f t="shared" si="2"/>
        <v>Spełnia</v>
      </c>
      <c r="AC56" s="60" t="str">
        <f t="shared" si="2"/>
        <v>Spełnia</v>
      </c>
      <c r="AD56" s="60" t="str">
        <f t="shared" si="2"/>
        <v>Spełnia</v>
      </c>
      <c r="AE56" s="60" t="str">
        <f t="shared" si="2"/>
        <v>Spełnia</v>
      </c>
      <c r="AF56" s="60" t="str">
        <f t="shared" si="2"/>
        <v>Spełnia</v>
      </c>
      <c r="AG56" s="60" t="str">
        <f t="shared" si="2"/>
        <v>Spełnia</v>
      </c>
    </row>
    <row r="57" spans="1:33" ht="24" outlineLevel="1">
      <c r="A57" s="52" t="s">
        <v>21</v>
      </c>
      <c r="B57" s="57" t="s">
        <v>77</v>
      </c>
      <c r="C57" s="58">
        <f>+Zal_1_WPF_wg_przeplywow!C69</f>
        <v>0.1365</v>
      </c>
      <c r="D57" s="58">
        <f>+Zal_1_WPF_wg_przeplywow!D69</f>
        <v>0.0442</v>
      </c>
      <c r="E57" s="58">
        <f>+Zal_1_WPF_wg_przeplywow!E69</f>
        <v>0.061</v>
      </c>
      <c r="F57" s="58">
        <f>+Zal_1_WPF_wg_przeplywow!F69</f>
        <v>0.0584</v>
      </c>
      <c r="G57" s="58">
        <f>+Zal_1_WPF_wg_przeplywow!G69</f>
        <v>0.0618</v>
      </c>
      <c r="H57" s="58">
        <f>+Zal_1_WPF_wg_przeplywow!H69</f>
        <v>0.0649</v>
      </c>
      <c r="I57" s="58">
        <f>+Zal_1_WPF_wg_przeplywow!I69</f>
        <v>0.0734</v>
      </c>
      <c r="J57" s="58">
        <f>+Zal_1_WPF_wg_przeplywow!J69</f>
        <v>0.0203</v>
      </c>
      <c r="K57" s="58">
        <f>+Zal_1_WPF_wg_przeplywow!K69</f>
        <v>0.0728</v>
      </c>
      <c r="L57" s="58">
        <f>+Zal_1_WPF_wg_przeplywow!L69</f>
        <v>0.0476</v>
      </c>
      <c r="M57" s="58">
        <f>+Zal_1_WPF_wg_przeplywow!M69</f>
        <v>0</v>
      </c>
      <c r="N57" s="58">
        <f>+Zal_1_WPF_wg_przeplywow!N69</f>
        <v>0</v>
      </c>
      <c r="O57" s="58">
        <f>+Zal_1_WPF_wg_przeplywow!O69</f>
        <v>0</v>
      </c>
      <c r="P57" s="58">
        <f>+Zal_1_WPF_wg_przeplywow!P69</f>
        <v>0</v>
      </c>
      <c r="Q57" s="58">
        <f>+Zal_1_WPF_wg_przeplywow!Q69</f>
        <v>0</v>
      </c>
      <c r="R57" s="58">
        <f>+Zal_1_WPF_wg_przeplywow!R69</f>
        <v>0</v>
      </c>
      <c r="S57" s="58">
        <f>+Zal_1_WPF_wg_przeplywow!S69</f>
        <v>0</v>
      </c>
      <c r="T57" s="58">
        <f>+Zal_1_WPF_wg_przeplywow!T69</f>
        <v>0</v>
      </c>
      <c r="U57" s="58">
        <f>+Zal_1_WPF_wg_przeplywow!U69</f>
        <v>0</v>
      </c>
      <c r="V57" s="58">
        <f>+Zal_1_WPF_wg_przeplywow!V69</f>
        <v>0</v>
      </c>
      <c r="W57" s="58">
        <f>+Zal_1_WPF_wg_przeplywow!W69</f>
        <v>0</v>
      </c>
      <c r="X57" s="58">
        <f>+Zal_1_WPF_wg_przeplywow!X69</f>
        <v>0</v>
      </c>
      <c r="Y57" s="58">
        <f>+Zal_1_WPF_wg_przeplywow!Y69</f>
        <v>0</v>
      </c>
      <c r="Z57" s="58">
        <f>+Zal_1_WPF_wg_przeplywow!Z69</f>
        <v>0</v>
      </c>
      <c r="AA57" s="58">
        <f>+Zal_1_WPF_wg_przeplywow!AA69</f>
        <v>0</v>
      </c>
      <c r="AB57" s="58">
        <f>+Zal_1_WPF_wg_przeplywow!AB69</f>
        <v>0</v>
      </c>
      <c r="AC57" s="58">
        <f>+Zal_1_WPF_wg_przeplywow!AC69</f>
        <v>0</v>
      </c>
      <c r="AD57" s="58">
        <f>+Zal_1_WPF_wg_przeplywow!AD69</f>
        <v>0</v>
      </c>
      <c r="AE57" s="58">
        <f>+Zal_1_WPF_wg_przeplywow!AE69</f>
        <v>0</v>
      </c>
      <c r="AF57" s="58">
        <f>+Zal_1_WPF_wg_przeplywow!AF69</f>
        <v>0</v>
      </c>
      <c r="AG57" s="58">
        <f>+Zal_1_WPF_wg_przeplywow!AG69</f>
        <v>0</v>
      </c>
    </row>
    <row r="58" spans="1:33" ht="24" outlineLevel="1">
      <c r="A58" s="65" t="s">
        <v>78</v>
      </c>
      <c r="B58" s="69" t="s">
        <v>79</v>
      </c>
      <c r="C58" s="60" t="str">
        <f>+IF(C57&lt;=C52,"Spełnia","Nie spełnia")</f>
        <v>Nie spełnia</v>
      </c>
      <c r="D58" s="60" t="str">
        <f aca="true" t="shared" si="3" ref="D58:AG58">+IF(D57&lt;=D52,"Spełnia","Nie spełnia")</f>
        <v>Spełnia</v>
      </c>
      <c r="E58" s="60" t="str">
        <f t="shared" si="3"/>
        <v>Spełnia</v>
      </c>
      <c r="F58" s="60" t="str">
        <f t="shared" si="3"/>
        <v>Spełnia</v>
      </c>
      <c r="G58" s="60" t="str">
        <f t="shared" si="3"/>
        <v>Spełnia</v>
      </c>
      <c r="H58" s="60" t="str">
        <f t="shared" si="3"/>
        <v>Spełnia</v>
      </c>
      <c r="I58" s="60" t="str">
        <f t="shared" si="3"/>
        <v>Spełnia</v>
      </c>
      <c r="J58" s="60" t="str">
        <f t="shared" si="3"/>
        <v>Spełnia</v>
      </c>
      <c r="K58" s="60" t="str">
        <f t="shared" si="3"/>
        <v>Spełnia</v>
      </c>
      <c r="L58" s="60" t="str">
        <f t="shared" si="3"/>
        <v>Spełnia</v>
      </c>
      <c r="M58" s="60" t="str">
        <f t="shared" si="3"/>
        <v>Spełnia</v>
      </c>
      <c r="N58" s="60" t="str">
        <f t="shared" si="3"/>
        <v>Spełnia</v>
      </c>
      <c r="O58" s="60" t="str">
        <f t="shared" si="3"/>
        <v>Spełnia</v>
      </c>
      <c r="P58" s="60" t="str">
        <f t="shared" si="3"/>
        <v>Spełnia</v>
      </c>
      <c r="Q58" s="60" t="str">
        <f t="shared" si="3"/>
        <v>Spełnia</v>
      </c>
      <c r="R58" s="60" t="str">
        <f t="shared" si="3"/>
        <v>Spełnia</v>
      </c>
      <c r="S58" s="60" t="str">
        <f t="shared" si="3"/>
        <v>Spełnia</v>
      </c>
      <c r="T58" s="60" t="str">
        <f t="shared" si="3"/>
        <v>Spełnia</v>
      </c>
      <c r="U58" s="60" t="str">
        <f t="shared" si="3"/>
        <v>Spełnia</v>
      </c>
      <c r="V58" s="60" t="str">
        <f t="shared" si="3"/>
        <v>Spełnia</v>
      </c>
      <c r="W58" s="60" t="str">
        <f t="shared" si="3"/>
        <v>Spełnia</v>
      </c>
      <c r="X58" s="60" t="str">
        <f t="shared" si="3"/>
        <v>Spełnia</v>
      </c>
      <c r="Y58" s="60" t="str">
        <f t="shared" si="3"/>
        <v>Spełnia</v>
      </c>
      <c r="Z58" s="60" t="str">
        <f t="shared" si="3"/>
        <v>Spełnia</v>
      </c>
      <c r="AA58" s="60" t="str">
        <f t="shared" si="3"/>
        <v>Spełnia</v>
      </c>
      <c r="AB58" s="60" t="str">
        <f t="shared" si="3"/>
        <v>Spełnia</v>
      </c>
      <c r="AC58" s="60" t="str">
        <f t="shared" si="3"/>
        <v>Spełnia</v>
      </c>
      <c r="AD58" s="60" t="str">
        <f t="shared" si="3"/>
        <v>Spełnia</v>
      </c>
      <c r="AE58" s="60" t="str">
        <f t="shared" si="3"/>
        <v>Spełnia</v>
      </c>
      <c r="AF58" s="60" t="str">
        <f t="shared" si="3"/>
        <v>Spełnia</v>
      </c>
      <c r="AG58" s="60" t="str">
        <f t="shared" si="3"/>
        <v>Spełnia</v>
      </c>
    </row>
    <row r="59" spans="1:33" ht="24" outlineLevel="1">
      <c r="A59" s="65" t="s">
        <v>218</v>
      </c>
      <c r="B59" s="69" t="s">
        <v>235</v>
      </c>
      <c r="C59" s="60" t="str">
        <f>+IF(C57&lt;=C53,"Spełnia","Nie spełnia")</f>
        <v>Nie spełnia</v>
      </c>
      <c r="D59" s="60" t="str">
        <f aca="true" t="shared" si="4" ref="D59:AG59">+IF(D57&lt;=D53,"Spełnia","Nie spełnia")</f>
        <v>Spełnia</v>
      </c>
      <c r="E59" s="60" t="str">
        <f t="shared" si="4"/>
        <v>Spełnia</v>
      </c>
      <c r="F59" s="60" t="str">
        <f t="shared" si="4"/>
        <v>Spełnia</v>
      </c>
      <c r="G59" s="60" t="str">
        <f t="shared" si="4"/>
        <v>Spełnia</v>
      </c>
      <c r="H59" s="60" t="str">
        <f t="shared" si="4"/>
        <v>Spełnia</v>
      </c>
      <c r="I59" s="60" t="str">
        <f t="shared" si="4"/>
        <v>Spełnia</v>
      </c>
      <c r="J59" s="60" t="str">
        <f t="shared" si="4"/>
        <v>Spełnia</v>
      </c>
      <c r="K59" s="60" t="str">
        <f t="shared" si="4"/>
        <v>Spełnia</v>
      </c>
      <c r="L59" s="60" t="str">
        <f t="shared" si="4"/>
        <v>Spełnia</v>
      </c>
      <c r="M59" s="60" t="str">
        <f t="shared" si="4"/>
        <v>Spełnia</v>
      </c>
      <c r="N59" s="60" t="str">
        <f t="shared" si="4"/>
        <v>Spełnia</v>
      </c>
      <c r="O59" s="60" t="str">
        <f t="shared" si="4"/>
        <v>Spełnia</v>
      </c>
      <c r="P59" s="60" t="str">
        <f t="shared" si="4"/>
        <v>Spełnia</v>
      </c>
      <c r="Q59" s="60" t="str">
        <f t="shared" si="4"/>
        <v>Spełnia</v>
      </c>
      <c r="R59" s="60" t="str">
        <f t="shared" si="4"/>
        <v>Spełnia</v>
      </c>
      <c r="S59" s="60" t="str">
        <f t="shared" si="4"/>
        <v>Spełnia</v>
      </c>
      <c r="T59" s="60" t="str">
        <f t="shared" si="4"/>
        <v>Spełnia</v>
      </c>
      <c r="U59" s="60" t="str">
        <f t="shared" si="4"/>
        <v>Spełnia</v>
      </c>
      <c r="V59" s="60" t="str">
        <f t="shared" si="4"/>
        <v>Spełnia</v>
      </c>
      <c r="W59" s="60" t="str">
        <f t="shared" si="4"/>
        <v>Spełnia</v>
      </c>
      <c r="X59" s="60" t="str">
        <f t="shared" si="4"/>
        <v>Spełnia</v>
      </c>
      <c r="Y59" s="60" t="str">
        <f t="shared" si="4"/>
        <v>Spełnia</v>
      </c>
      <c r="Z59" s="60" t="str">
        <f t="shared" si="4"/>
        <v>Spełnia</v>
      </c>
      <c r="AA59" s="60" t="str">
        <f t="shared" si="4"/>
        <v>Spełnia</v>
      </c>
      <c r="AB59" s="60" t="str">
        <f t="shared" si="4"/>
        <v>Spełnia</v>
      </c>
      <c r="AC59" s="60" t="str">
        <f t="shared" si="4"/>
        <v>Spełnia</v>
      </c>
      <c r="AD59" s="60" t="str">
        <f t="shared" si="4"/>
        <v>Spełnia</v>
      </c>
      <c r="AE59" s="60" t="str">
        <f t="shared" si="4"/>
        <v>Spełnia</v>
      </c>
      <c r="AF59" s="60" t="str">
        <f t="shared" si="4"/>
        <v>Spełnia</v>
      </c>
      <c r="AG59" s="60" t="str">
        <f t="shared" si="4"/>
        <v>Spełnia</v>
      </c>
    </row>
    <row r="60" spans="1:33" ht="14.25">
      <c r="A60" s="44" t="s">
        <v>22</v>
      </c>
      <c r="B60" s="45" t="s">
        <v>80</v>
      </c>
      <c r="C60" s="239" t="s">
        <v>174</v>
      </c>
      <c r="D60" s="239" t="s">
        <v>174</v>
      </c>
      <c r="E60" s="239" t="s">
        <v>174</v>
      </c>
      <c r="F60" s="239" t="s">
        <v>174</v>
      </c>
      <c r="G60" s="239" t="s">
        <v>174</v>
      </c>
      <c r="H60" s="239" t="s">
        <v>174</v>
      </c>
      <c r="I60" s="239" t="s">
        <v>174</v>
      </c>
      <c r="J60" s="239" t="s">
        <v>174</v>
      </c>
      <c r="K60" s="239" t="s">
        <v>174</v>
      </c>
      <c r="L60" s="239" t="s">
        <v>174</v>
      </c>
      <c r="M60" s="239" t="s">
        <v>174</v>
      </c>
      <c r="N60" s="239" t="s">
        <v>174</v>
      </c>
      <c r="O60" s="239" t="s">
        <v>174</v>
      </c>
      <c r="P60" s="239" t="s">
        <v>174</v>
      </c>
      <c r="Q60" s="239" t="s">
        <v>174</v>
      </c>
      <c r="R60" s="239" t="s">
        <v>174</v>
      </c>
      <c r="S60" s="239" t="s">
        <v>174</v>
      </c>
      <c r="T60" s="239" t="s">
        <v>174</v>
      </c>
      <c r="U60" s="239" t="s">
        <v>174</v>
      </c>
      <c r="V60" s="239" t="s">
        <v>174</v>
      </c>
      <c r="W60" s="239" t="s">
        <v>174</v>
      </c>
      <c r="X60" s="239" t="s">
        <v>174</v>
      </c>
      <c r="Y60" s="239" t="s">
        <v>174</v>
      </c>
      <c r="Z60" s="239" t="s">
        <v>174</v>
      </c>
      <c r="AA60" s="239" t="s">
        <v>174</v>
      </c>
      <c r="AB60" s="239" t="s">
        <v>174</v>
      </c>
      <c r="AC60" s="239" t="s">
        <v>174</v>
      </c>
      <c r="AD60" s="239" t="s">
        <v>174</v>
      </c>
      <c r="AE60" s="239" t="s">
        <v>174</v>
      </c>
      <c r="AF60" s="239" t="s">
        <v>174</v>
      </c>
      <c r="AG60" s="239" t="s">
        <v>174</v>
      </c>
    </row>
    <row r="61" spans="1:33" ht="14.25" outlineLevel="1">
      <c r="A61" s="47"/>
      <c r="B61" s="48" t="s">
        <v>4</v>
      </c>
      <c r="C61" s="49">
        <f>+Zal_1_WPF_wg_przeplywow!C16</f>
        <v>14910403</v>
      </c>
      <c r="D61" s="49">
        <f>+Zal_1_WPF_wg_przeplywow!D16</f>
        <v>15541758</v>
      </c>
      <c r="E61" s="49">
        <f>+Zal_1_WPF_wg_przeplywow!E16</f>
        <v>15961385</v>
      </c>
      <c r="F61" s="49">
        <f>+Zal_1_WPF_wg_przeplywow!F16</f>
        <v>16392342</v>
      </c>
      <c r="G61" s="49">
        <f>+Zal_1_WPF_wg_przeplywow!G16</f>
        <v>16834936</v>
      </c>
      <c r="H61" s="49">
        <f>+Zal_1_WPF_wg_przeplywow!H16</f>
        <v>17272644</v>
      </c>
      <c r="I61" s="49">
        <f>+Zal_1_WPF_wg_przeplywow!I16</f>
        <v>17721733</v>
      </c>
      <c r="J61" s="49">
        <f>+Zal_1_WPF_wg_przeplywow!J16</f>
        <v>18041291</v>
      </c>
      <c r="K61" s="49">
        <f>+Zal_1_WPF_wg_przeplywow!K16</f>
        <v>18456241</v>
      </c>
      <c r="L61" s="49">
        <f>+Zal_1_WPF_wg_przeplywow!L16</f>
        <v>18880734</v>
      </c>
      <c r="M61" s="49">
        <f>+Zal_1_WPF_wg_przeplywow!M16</f>
        <v>0</v>
      </c>
      <c r="N61" s="49">
        <f>+Zal_1_WPF_wg_przeplywow!N16</f>
        <v>0</v>
      </c>
      <c r="O61" s="49">
        <f>+Zal_1_WPF_wg_przeplywow!O16</f>
        <v>0</v>
      </c>
      <c r="P61" s="49">
        <f>+Zal_1_WPF_wg_przeplywow!P16</f>
        <v>0</v>
      </c>
      <c r="Q61" s="49">
        <f>+Zal_1_WPF_wg_przeplywow!Q16</f>
        <v>0</v>
      </c>
      <c r="R61" s="49">
        <f>+Zal_1_WPF_wg_przeplywow!R16</f>
        <v>0</v>
      </c>
      <c r="S61" s="49">
        <f>+Zal_1_WPF_wg_przeplywow!S16</f>
        <v>0</v>
      </c>
      <c r="T61" s="49">
        <f>+Zal_1_WPF_wg_przeplywow!T16</f>
        <v>0</v>
      </c>
      <c r="U61" s="49">
        <f>+Zal_1_WPF_wg_przeplywow!U16</f>
        <v>0</v>
      </c>
      <c r="V61" s="49">
        <f>+Zal_1_WPF_wg_przeplywow!V16</f>
        <v>0</v>
      </c>
      <c r="W61" s="49">
        <f>+Zal_1_WPF_wg_przeplywow!W16</f>
        <v>0</v>
      </c>
      <c r="X61" s="49">
        <f>+Zal_1_WPF_wg_przeplywow!X16</f>
        <v>0</v>
      </c>
      <c r="Y61" s="49">
        <f>+Zal_1_WPF_wg_przeplywow!Y16</f>
        <v>0</v>
      </c>
      <c r="Z61" s="49">
        <f>+Zal_1_WPF_wg_przeplywow!Z16</f>
        <v>0</v>
      </c>
      <c r="AA61" s="49">
        <f>+Zal_1_WPF_wg_przeplywow!AA16</f>
        <v>0</v>
      </c>
      <c r="AB61" s="49">
        <f>+Zal_1_WPF_wg_przeplywow!AB16</f>
        <v>0</v>
      </c>
      <c r="AC61" s="49">
        <f>+Zal_1_WPF_wg_przeplywow!AC16</f>
        <v>0</v>
      </c>
      <c r="AD61" s="49">
        <f>+Zal_1_WPF_wg_przeplywow!AD16</f>
        <v>0</v>
      </c>
      <c r="AE61" s="49">
        <f>+Zal_1_WPF_wg_przeplywow!AE16</f>
        <v>0</v>
      </c>
      <c r="AF61" s="49">
        <f>+Zal_1_WPF_wg_przeplywow!AF16</f>
        <v>0</v>
      </c>
      <c r="AG61" s="49">
        <f>+Zal_1_WPF_wg_przeplywow!AG16</f>
        <v>0</v>
      </c>
    </row>
    <row r="62" spans="1:33" ht="14.25" outlineLevel="1">
      <c r="A62" s="47"/>
      <c r="B62" s="48" t="s">
        <v>5</v>
      </c>
      <c r="C62" s="49">
        <f>+Zal_1_WPF_wg_przeplywow!C17</f>
        <v>3053449</v>
      </c>
      <c r="D62" s="49">
        <f>+Zal_1_WPF_wg_przeplywow!D17</f>
        <v>3102301</v>
      </c>
      <c r="E62" s="49">
        <f>+Zal_1_WPF_wg_przeplywow!E17</f>
        <v>3182961</v>
      </c>
      <c r="F62" s="49">
        <f>+Zal_1_WPF_wg_przeplywow!F17</f>
        <v>3265718</v>
      </c>
      <c r="G62" s="49">
        <f>+Zal_1_WPF_wg_przeplywow!G17</f>
        <v>3350627</v>
      </c>
      <c r="H62" s="49">
        <f>+Zal_1_WPF_wg_przeplywow!H17</f>
        <v>3434392</v>
      </c>
      <c r="I62" s="49">
        <f>+Zal_1_WPF_wg_przeplywow!I17</f>
        <v>3520252</v>
      </c>
      <c r="J62" s="49">
        <f>+Zal_1_WPF_wg_przeplywow!J17</f>
        <v>3608258</v>
      </c>
      <c r="K62" s="49">
        <f>+Zal_1_WPF_wg_przeplywow!K17</f>
        <v>3691248</v>
      </c>
      <c r="L62" s="49">
        <f>+Zal_1_WPF_wg_przeplywow!L17</f>
        <v>3776147</v>
      </c>
      <c r="M62" s="49">
        <f>+Zal_1_WPF_wg_przeplywow!M17</f>
        <v>0</v>
      </c>
      <c r="N62" s="49">
        <f>+Zal_1_WPF_wg_przeplywow!N17</f>
        <v>0</v>
      </c>
      <c r="O62" s="49">
        <f>+Zal_1_WPF_wg_przeplywow!O17</f>
        <v>0</v>
      </c>
      <c r="P62" s="49">
        <f>+Zal_1_WPF_wg_przeplywow!P17</f>
        <v>0</v>
      </c>
      <c r="Q62" s="49">
        <f>+Zal_1_WPF_wg_przeplywow!Q17</f>
        <v>0</v>
      </c>
      <c r="R62" s="49">
        <f>+Zal_1_WPF_wg_przeplywow!R17</f>
        <v>0</v>
      </c>
      <c r="S62" s="49">
        <f>+Zal_1_WPF_wg_przeplywow!S17</f>
        <v>0</v>
      </c>
      <c r="T62" s="49">
        <f>+Zal_1_WPF_wg_przeplywow!T17</f>
        <v>0</v>
      </c>
      <c r="U62" s="49">
        <f>+Zal_1_WPF_wg_przeplywow!U17</f>
        <v>0</v>
      </c>
      <c r="V62" s="49">
        <f>+Zal_1_WPF_wg_przeplywow!V17</f>
        <v>0</v>
      </c>
      <c r="W62" s="49">
        <f>+Zal_1_WPF_wg_przeplywow!W17</f>
        <v>0</v>
      </c>
      <c r="X62" s="49">
        <f>+Zal_1_WPF_wg_przeplywow!X17</f>
        <v>0</v>
      </c>
      <c r="Y62" s="49">
        <f>+Zal_1_WPF_wg_przeplywow!Y17</f>
        <v>0</v>
      </c>
      <c r="Z62" s="49">
        <f>+Zal_1_WPF_wg_przeplywow!Z17</f>
        <v>0</v>
      </c>
      <c r="AA62" s="49">
        <f>+Zal_1_WPF_wg_przeplywow!AA17</f>
        <v>0</v>
      </c>
      <c r="AB62" s="49">
        <f>+Zal_1_WPF_wg_przeplywow!AB17</f>
        <v>0</v>
      </c>
      <c r="AC62" s="49">
        <f>+Zal_1_WPF_wg_przeplywow!AC17</f>
        <v>0</v>
      </c>
      <c r="AD62" s="49">
        <f>+Zal_1_WPF_wg_przeplywow!AD17</f>
        <v>0</v>
      </c>
      <c r="AE62" s="49">
        <f>+Zal_1_WPF_wg_przeplywow!AE17</f>
        <v>0</v>
      </c>
      <c r="AF62" s="49">
        <f>+Zal_1_WPF_wg_przeplywow!AF17</f>
        <v>0</v>
      </c>
      <c r="AG62" s="49">
        <f>+Zal_1_WPF_wg_przeplywow!AG17</f>
        <v>0</v>
      </c>
    </row>
    <row r="63" spans="1:33" ht="14.25" outlineLevel="1">
      <c r="A63" s="47"/>
      <c r="B63" s="48" t="s">
        <v>81</v>
      </c>
      <c r="C63" s="49">
        <f>+Zal_1_WPF_wg_przeplywow!C21</f>
        <v>1200000</v>
      </c>
      <c r="D63" s="49">
        <f>+Zal_1_WPF_wg_przeplywow!D21</f>
        <v>1280000</v>
      </c>
      <c r="E63" s="49">
        <f>+Zal_1_WPF_wg_przeplywow!E21</f>
        <v>1110000</v>
      </c>
      <c r="F63" s="49">
        <f>+Zal_1_WPF_wg_przeplywow!F21</f>
        <v>0</v>
      </c>
      <c r="G63" s="49">
        <f>+Zal_1_WPF_wg_przeplywow!G21</f>
        <v>0</v>
      </c>
      <c r="H63" s="49">
        <f>+Zal_1_WPF_wg_przeplywow!H21</f>
        <v>0</v>
      </c>
      <c r="I63" s="49">
        <f>+Zal_1_WPF_wg_przeplywow!I21</f>
        <v>0</v>
      </c>
      <c r="J63" s="49">
        <f>+Zal_1_WPF_wg_przeplywow!J21</f>
        <v>0</v>
      </c>
      <c r="K63" s="49">
        <f>+Zal_1_WPF_wg_przeplywow!K21</f>
        <v>0</v>
      </c>
      <c r="L63" s="49">
        <f>+Zal_1_WPF_wg_przeplywow!L21</f>
        <v>0</v>
      </c>
      <c r="M63" s="49">
        <f>+Zal_1_WPF_wg_przeplywow!M21</f>
        <v>0</v>
      </c>
      <c r="N63" s="49">
        <f>+Zal_1_WPF_wg_przeplywow!N21</f>
        <v>0</v>
      </c>
      <c r="O63" s="49">
        <f>+Zal_1_WPF_wg_przeplywow!O21</f>
        <v>0</v>
      </c>
      <c r="P63" s="49">
        <f>+Zal_1_WPF_wg_przeplywow!P21</f>
        <v>0</v>
      </c>
      <c r="Q63" s="49">
        <f>+Zal_1_WPF_wg_przeplywow!Q21</f>
        <v>0</v>
      </c>
      <c r="R63" s="49">
        <f>+Zal_1_WPF_wg_przeplywow!R21</f>
        <v>0</v>
      </c>
      <c r="S63" s="49">
        <f>+Zal_1_WPF_wg_przeplywow!S21</f>
        <v>0</v>
      </c>
      <c r="T63" s="49">
        <f>+Zal_1_WPF_wg_przeplywow!T21</f>
        <v>0</v>
      </c>
      <c r="U63" s="49">
        <f>+Zal_1_WPF_wg_przeplywow!U21</f>
        <v>0</v>
      </c>
      <c r="V63" s="49">
        <f>+Zal_1_WPF_wg_przeplywow!V21</f>
        <v>0</v>
      </c>
      <c r="W63" s="49">
        <f>+Zal_1_WPF_wg_przeplywow!W21</f>
        <v>0</v>
      </c>
      <c r="X63" s="49">
        <f>+Zal_1_WPF_wg_przeplywow!X21</f>
        <v>0</v>
      </c>
      <c r="Y63" s="49">
        <f>+Zal_1_WPF_wg_przeplywow!Y21</f>
        <v>0</v>
      </c>
      <c r="Z63" s="49">
        <f>+Zal_1_WPF_wg_przeplywow!Z21</f>
        <v>0</v>
      </c>
      <c r="AA63" s="49">
        <f>+Zal_1_WPF_wg_przeplywow!AA21</f>
        <v>0</v>
      </c>
      <c r="AB63" s="49">
        <f>+Zal_1_WPF_wg_przeplywow!AB21</f>
        <v>0</v>
      </c>
      <c r="AC63" s="49">
        <f>+Zal_1_WPF_wg_przeplywow!AC21</f>
        <v>0</v>
      </c>
      <c r="AD63" s="49">
        <f>+Zal_1_WPF_wg_przeplywow!AD21</f>
        <v>0</v>
      </c>
      <c r="AE63" s="49">
        <f>+Zal_1_WPF_wg_przeplywow!AE21</f>
        <v>0</v>
      </c>
      <c r="AF63" s="49">
        <f>+Zal_1_WPF_wg_przeplywow!AF21</f>
        <v>0</v>
      </c>
      <c r="AG63" s="49">
        <f>+Zal_1_WPF_wg_przeplywow!AG21</f>
        <v>0</v>
      </c>
    </row>
    <row r="64" spans="1:33" ht="14.25" outlineLevel="1">
      <c r="A64" s="61"/>
      <c r="B64" s="62" t="s">
        <v>82</v>
      </c>
      <c r="C64" s="63">
        <f>+Zal_1_WPF_wg_przeplywow!C40</f>
        <v>3208757</v>
      </c>
      <c r="D64" s="63">
        <f>+Zal_1_WPF_wg_przeplywow!D40</f>
        <v>3211000</v>
      </c>
      <c r="E64" s="63">
        <f>+Zal_1_WPF_wg_przeplywow!E40</f>
        <v>2120000</v>
      </c>
      <c r="F64" s="63">
        <f>+Zal_1_WPF_wg_przeplywow!F40</f>
        <v>4102930</v>
      </c>
      <c r="G64" s="63">
        <f>+Zal_1_WPF_wg_przeplywow!G40</f>
        <v>1000000</v>
      </c>
      <c r="H64" s="63">
        <f>+Zal_1_WPF_wg_przeplywow!H40</f>
        <v>0</v>
      </c>
      <c r="I64" s="63">
        <f>+Zal_1_WPF_wg_przeplywow!I40</f>
        <v>0</v>
      </c>
      <c r="J64" s="63">
        <f>+Zal_1_WPF_wg_przeplywow!J40</f>
        <v>0</v>
      </c>
      <c r="K64" s="63">
        <f>+Zal_1_WPF_wg_przeplywow!K40</f>
        <v>0</v>
      </c>
      <c r="L64" s="63">
        <f>+Zal_1_WPF_wg_przeplywow!L40</f>
        <v>0</v>
      </c>
      <c r="M64" s="63">
        <f>+Zal_1_WPF_wg_przeplywow!M40</f>
        <v>0</v>
      </c>
      <c r="N64" s="63">
        <f>+Zal_1_WPF_wg_przeplywow!N40</f>
        <v>0</v>
      </c>
      <c r="O64" s="63">
        <f>+Zal_1_WPF_wg_przeplywow!O40</f>
        <v>0</v>
      </c>
      <c r="P64" s="63">
        <f>+Zal_1_WPF_wg_przeplywow!P40</f>
        <v>0</v>
      </c>
      <c r="Q64" s="63">
        <f>+Zal_1_WPF_wg_przeplywow!Q40</f>
        <v>0</v>
      </c>
      <c r="R64" s="63">
        <f>+Zal_1_WPF_wg_przeplywow!R40</f>
        <v>0</v>
      </c>
      <c r="S64" s="63">
        <f>+Zal_1_WPF_wg_przeplywow!S40</f>
        <v>0</v>
      </c>
      <c r="T64" s="63">
        <f>+Zal_1_WPF_wg_przeplywow!T40</f>
        <v>0</v>
      </c>
      <c r="U64" s="63">
        <f>+Zal_1_WPF_wg_przeplywow!U40</f>
        <v>0</v>
      </c>
      <c r="V64" s="63">
        <f>+Zal_1_WPF_wg_przeplywow!V40</f>
        <v>0</v>
      </c>
      <c r="W64" s="63">
        <f>+Zal_1_WPF_wg_przeplywow!W40</f>
        <v>0</v>
      </c>
      <c r="X64" s="63">
        <f>+Zal_1_WPF_wg_przeplywow!X40</f>
        <v>0</v>
      </c>
      <c r="Y64" s="63">
        <f>+Zal_1_WPF_wg_przeplywow!Y40</f>
        <v>0</v>
      </c>
      <c r="Z64" s="63">
        <f>+Zal_1_WPF_wg_przeplywow!Z40</f>
        <v>0</v>
      </c>
      <c r="AA64" s="63">
        <f>+Zal_1_WPF_wg_przeplywow!AA40</f>
        <v>0</v>
      </c>
      <c r="AB64" s="63">
        <f>+Zal_1_WPF_wg_przeplywow!AB40</f>
        <v>0</v>
      </c>
      <c r="AC64" s="63">
        <f>+Zal_1_WPF_wg_przeplywow!AC40</f>
        <v>0</v>
      </c>
      <c r="AD64" s="63">
        <f>+Zal_1_WPF_wg_przeplywow!AD40</f>
        <v>0</v>
      </c>
      <c r="AE64" s="63">
        <f>+Zal_1_WPF_wg_przeplywow!AE40</f>
        <v>0</v>
      </c>
      <c r="AF64" s="63">
        <f>+Zal_1_WPF_wg_przeplywow!AF40</f>
        <v>0</v>
      </c>
      <c r="AG64" s="63">
        <f>+Zal_1_WPF_wg_przeplywow!AG40</f>
        <v>0</v>
      </c>
    </row>
    <row r="65" spans="1:33" ht="24">
      <c r="A65" s="42" t="s">
        <v>23</v>
      </c>
      <c r="B65" s="43" t="s">
        <v>163</v>
      </c>
      <c r="C65" s="36">
        <f>+Zal_1_WPF_wg_przeplywow!C50</f>
        <v>630600</v>
      </c>
      <c r="D65" s="36">
        <f>+Zal_1_WPF_wg_przeplywow!D50</f>
        <v>374626</v>
      </c>
      <c r="E65" s="36">
        <f>+Zal_1_WPF_wg_przeplywow!E50</f>
        <v>411266</v>
      </c>
      <c r="F65" s="36">
        <f>+Zal_1_WPF_wg_przeplywow!F50</f>
        <v>438297</v>
      </c>
      <c r="G65" s="36">
        <f>+Zal_1_WPF_wg_przeplywow!G50</f>
        <v>1694000</v>
      </c>
      <c r="H65" s="36">
        <f>+Zal_1_WPF_wg_przeplywow!H50</f>
        <v>1950000</v>
      </c>
      <c r="I65" s="36">
        <f>+Zal_1_WPF_wg_przeplywow!I50</f>
        <v>2450000</v>
      </c>
      <c r="J65" s="36">
        <f>+Zal_1_WPF_wg_przeplywow!J50</f>
        <v>500000</v>
      </c>
      <c r="K65" s="36">
        <f>+Zal_1_WPF_wg_przeplywow!K50</f>
        <v>2566576</v>
      </c>
      <c r="L65" s="36">
        <f>+Zal_1_WPF_wg_przeplywow!L50</f>
        <v>1693635</v>
      </c>
      <c r="M65" s="36">
        <f>+Zal_1_WPF_wg_przeplywow!M50</f>
        <v>0</v>
      </c>
      <c r="N65" s="36">
        <f>+Zal_1_WPF_wg_przeplywow!N50</f>
        <v>0</v>
      </c>
      <c r="O65" s="36">
        <f>+Zal_1_WPF_wg_przeplywow!O50</f>
        <v>0</v>
      </c>
      <c r="P65" s="36">
        <f>+Zal_1_WPF_wg_przeplywow!P50</f>
        <v>0</v>
      </c>
      <c r="Q65" s="36">
        <f>+Zal_1_WPF_wg_przeplywow!Q50</f>
        <v>0</v>
      </c>
      <c r="R65" s="36">
        <f>+Zal_1_WPF_wg_przeplywow!R50</f>
        <v>0</v>
      </c>
      <c r="S65" s="36">
        <f>+Zal_1_WPF_wg_przeplywow!S50</f>
        <v>0</v>
      </c>
      <c r="T65" s="36">
        <f>+Zal_1_WPF_wg_przeplywow!T50</f>
        <v>0</v>
      </c>
      <c r="U65" s="36">
        <f>+Zal_1_WPF_wg_przeplywow!U50</f>
        <v>0</v>
      </c>
      <c r="V65" s="36">
        <f>+Zal_1_WPF_wg_przeplywow!V50</f>
        <v>0</v>
      </c>
      <c r="W65" s="36">
        <f>+Zal_1_WPF_wg_przeplywow!W50</f>
        <v>0</v>
      </c>
      <c r="X65" s="36">
        <f>+Zal_1_WPF_wg_przeplywow!X50</f>
        <v>0</v>
      </c>
      <c r="Y65" s="36">
        <f>+Zal_1_WPF_wg_przeplywow!Y50</f>
        <v>0</v>
      </c>
      <c r="Z65" s="36">
        <f>+Zal_1_WPF_wg_przeplywow!Z50</f>
        <v>0</v>
      </c>
      <c r="AA65" s="36">
        <f>+Zal_1_WPF_wg_przeplywow!AA50</f>
        <v>0</v>
      </c>
      <c r="AB65" s="36">
        <f>+Zal_1_WPF_wg_przeplywow!AB50</f>
        <v>0</v>
      </c>
      <c r="AC65" s="36">
        <f>+Zal_1_WPF_wg_przeplywow!AC50</f>
        <v>0</v>
      </c>
      <c r="AD65" s="36">
        <f>+Zal_1_WPF_wg_przeplywow!AD50</f>
        <v>0</v>
      </c>
      <c r="AE65" s="36">
        <f>+Zal_1_WPF_wg_przeplywow!AE50</f>
        <v>0</v>
      </c>
      <c r="AF65" s="36">
        <f>+Zal_1_WPF_wg_przeplywow!AF50</f>
        <v>0</v>
      </c>
      <c r="AG65" s="36">
        <f>+Zal_1_WPF_wg_przeplywow!AG50</f>
        <v>0</v>
      </c>
    </row>
    <row r="66" spans="1:33" ht="14.25">
      <c r="A66" s="44" t="s">
        <v>24</v>
      </c>
      <c r="B66" s="45" t="s">
        <v>89</v>
      </c>
      <c r="C66" s="71">
        <f>+Zal_1_WPF_wg_przeplywow!C51</f>
        <v>0</v>
      </c>
      <c r="D66" s="71">
        <f>+Zal_1_WPF_wg_przeplywow!D51</f>
        <v>0</v>
      </c>
      <c r="E66" s="71">
        <f>+Zal_1_WPF_wg_przeplywow!E51</f>
        <v>0</v>
      </c>
      <c r="F66" s="71">
        <f>+Zal_1_WPF_wg_przeplywow!F51</f>
        <v>0</v>
      </c>
      <c r="G66" s="71">
        <f>+Zal_1_WPF_wg_przeplywow!G51</f>
        <v>0</v>
      </c>
      <c r="H66" s="71">
        <f>+Zal_1_WPF_wg_przeplywow!H51</f>
        <v>0</v>
      </c>
      <c r="I66" s="71">
        <f>+Zal_1_WPF_wg_przeplywow!I51</f>
        <v>0</v>
      </c>
      <c r="J66" s="71">
        <f>+Zal_1_WPF_wg_przeplywow!J51</f>
        <v>0</v>
      </c>
      <c r="K66" s="71">
        <f>+Zal_1_WPF_wg_przeplywow!K51</f>
        <v>0</v>
      </c>
      <c r="L66" s="71">
        <f>+Zal_1_WPF_wg_przeplywow!L51</f>
        <v>0</v>
      </c>
      <c r="M66" s="71">
        <f>+Zal_1_WPF_wg_przeplywow!M51</f>
        <v>0</v>
      </c>
      <c r="N66" s="71">
        <f>+Zal_1_WPF_wg_przeplywow!N51</f>
        <v>0</v>
      </c>
      <c r="O66" s="71">
        <f>+Zal_1_WPF_wg_przeplywow!O51</f>
        <v>0</v>
      </c>
      <c r="P66" s="71">
        <f>+Zal_1_WPF_wg_przeplywow!P51</f>
        <v>0</v>
      </c>
      <c r="Q66" s="71">
        <f>+Zal_1_WPF_wg_przeplywow!Q51</f>
        <v>0</v>
      </c>
      <c r="R66" s="71">
        <f>+Zal_1_WPF_wg_przeplywow!R51</f>
        <v>0</v>
      </c>
      <c r="S66" s="71">
        <f>+Zal_1_WPF_wg_przeplywow!S51</f>
        <v>0</v>
      </c>
      <c r="T66" s="71">
        <f>+Zal_1_WPF_wg_przeplywow!T51</f>
        <v>0</v>
      </c>
      <c r="U66" s="71">
        <f>+Zal_1_WPF_wg_przeplywow!U51</f>
        <v>0</v>
      </c>
      <c r="V66" s="71">
        <f>+Zal_1_WPF_wg_przeplywow!V51</f>
        <v>0</v>
      </c>
      <c r="W66" s="71">
        <f>+Zal_1_WPF_wg_przeplywow!W51</f>
        <v>0</v>
      </c>
      <c r="X66" s="71">
        <f>+Zal_1_WPF_wg_przeplywow!X51</f>
        <v>0</v>
      </c>
      <c r="Y66" s="71">
        <f>+Zal_1_WPF_wg_przeplywow!Y51</f>
        <v>0</v>
      </c>
      <c r="Z66" s="71">
        <f>+Zal_1_WPF_wg_przeplywow!Z51</f>
        <v>0</v>
      </c>
      <c r="AA66" s="71">
        <f>+Zal_1_WPF_wg_przeplywow!AA51</f>
        <v>0</v>
      </c>
      <c r="AB66" s="71">
        <f>+Zal_1_WPF_wg_przeplywow!AB51</f>
        <v>0</v>
      </c>
      <c r="AC66" s="71">
        <f>+Zal_1_WPF_wg_przeplywow!AC51</f>
        <v>0</v>
      </c>
      <c r="AD66" s="71">
        <f>+Zal_1_WPF_wg_przeplywow!AD51</f>
        <v>0</v>
      </c>
      <c r="AE66" s="71">
        <f>+Zal_1_WPF_wg_przeplywow!AE51</f>
        <v>0</v>
      </c>
      <c r="AF66" s="71">
        <f>+Zal_1_WPF_wg_przeplywow!AF51</f>
        <v>0</v>
      </c>
      <c r="AG66" s="71">
        <f>+Zal_1_WPF_wg_przeplywow!AG51</f>
        <v>0</v>
      </c>
    </row>
    <row r="67" spans="1:33" ht="24" outlineLevel="1">
      <c r="A67" s="61"/>
      <c r="B67" s="62" t="s">
        <v>90</v>
      </c>
      <c r="C67" s="63">
        <f>+Zal_1_WPF_wg_przeplywow!C52</f>
        <v>0</v>
      </c>
      <c r="D67" s="63">
        <f>+Zal_1_WPF_wg_przeplywow!D52</f>
        <v>0</v>
      </c>
      <c r="E67" s="63">
        <f>+Zal_1_WPF_wg_przeplywow!E52</f>
        <v>0</v>
      </c>
      <c r="F67" s="63">
        <f>+Zal_1_WPF_wg_przeplywow!F52</f>
        <v>0</v>
      </c>
      <c r="G67" s="63">
        <f>+Zal_1_WPF_wg_przeplywow!G52</f>
        <v>0</v>
      </c>
      <c r="H67" s="63">
        <f>+Zal_1_WPF_wg_przeplywow!H52</f>
        <v>0</v>
      </c>
      <c r="I67" s="63">
        <f>+Zal_1_WPF_wg_przeplywow!I52</f>
        <v>0</v>
      </c>
      <c r="J67" s="63">
        <f>+Zal_1_WPF_wg_przeplywow!J52</f>
        <v>0</v>
      </c>
      <c r="K67" s="63">
        <f>+Zal_1_WPF_wg_przeplywow!K52</f>
        <v>0</v>
      </c>
      <c r="L67" s="63">
        <f>+Zal_1_WPF_wg_przeplywow!L52</f>
        <v>0</v>
      </c>
      <c r="M67" s="63">
        <f>+Zal_1_WPF_wg_przeplywow!M52</f>
        <v>0</v>
      </c>
      <c r="N67" s="63">
        <f>+Zal_1_WPF_wg_przeplywow!N52</f>
        <v>0</v>
      </c>
      <c r="O67" s="63">
        <f>+Zal_1_WPF_wg_przeplywow!O52</f>
        <v>0</v>
      </c>
      <c r="P67" s="63">
        <f>+Zal_1_WPF_wg_przeplywow!P52</f>
        <v>0</v>
      </c>
      <c r="Q67" s="63">
        <f>+Zal_1_WPF_wg_przeplywow!Q52</f>
        <v>0</v>
      </c>
      <c r="R67" s="63">
        <f>+Zal_1_WPF_wg_przeplywow!R52</f>
        <v>0</v>
      </c>
      <c r="S67" s="63">
        <f>+Zal_1_WPF_wg_przeplywow!S52</f>
        <v>0</v>
      </c>
      <c r="T67" s="63">
        <f>+Zal_1_WPF_wg_przeplywow!T52</f>
        <v>0</v>
      </c>
      <c r="U67" s="63">
        <f>+Zal_1_WPF_wg_przeplywow!U52</f>
        <v>0</v>
      </c>
      <c r="V67" s="63">
        <f>+Zal_1_WPF_wg_przeplywow!V52</f>
        <v>0</v>
      </c>
      <c r="W67" s="63">
        <f>+Zal_1_WPF_wg_przeplywow!W52</f>
        <v>0</v>
      </c>
      <c r="X67" s="63">
        <f>+Zal_1_WPF_wg_przeplywow!X52</f>
        <v>0</v>
      </c>
      <c r="Y67" s="63">
        <f>+Zal_1_WPF_wg_przeplywow!Y52</f>
        <v>0</v>
      </c>
      <c r="Z67" s="63">
        <f>+Zal_1_WPF_wg_przeplywow!Z52</f>
        <v>0</v>
      </c>
      <c r="AA67" s="63">
        <f>+Zal_1_WPF_wg_przeplywow!AA52</f>
        <v>0</v>
      </c>
      <c r="AB67" s="63">
        <f>+Zal_1_WPF_wg_przeplywow!AB52</f>
        <v>0</v>
      </c>
      <c r="AC67" s="63">
        <f>+Zal_1_WPF_wg_przeplywow!AC52</f>
        <v>0</v>
      </c>
      <c r="AD67" s="63">
        <f>+Zal_1_WPF_wg_przeplywow!AD52</f>
        <v>0</v>
      </c>
      <c r="AE67" s="63">
        <f>+Zal_1_WPF_wg_przeplywow!AE52</f>
        <v>0</v>
      </c>
      <c r="AF67" s="63">
        <f>+Zal_1_WPF_wg_przeplywow!AF52</f>
        <v>0</v>
      </c>
      <c r="AG67" s="63">
        <f>+Zal_1_WPF_wg_przeplywow!AG52</f>
        <v>0</v>
      </c>
    </row>
    <row r="68" spans="1:33" ht="24" outlineLevel="1">
      <c r="A68" s="44" t="s">
        <v>370</v>
      </c>
      <c r="B68" s="263" t="s">
        <v>281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</row>
    <row r="69" spans="1:33" ht="24" outlineLevel="1">
      <c r="A69" s="47"/>
      <c r="B69" s="48" t="s">
        <v>282</v>
      </c>
      <c r="C69" s="49">
        <f>+Zal_1_WPF_wg_przeplywow!C54</f>
        <v>0</v>
      </c>
      <c r="D69" s="49">
        <f>+Zal_1_WPF_wg_przeplywow!D54</f>
        <v>0</v>
      </c>
      <c r="E69" s="49">
        <f>+Zal_1_WPF_wg_przeplywow!E54</f>
        <v>0</v>
      </c>
      <c r="F69" s="49">
        <f>+Zal_1_WPF_wg_przeplywow!F54</f>
        <v>0</v>
      </c>
      <c r="G69" s="49">
        <f>+Zal_1_WPF_wg_przeplywow!G54</f>
        <v>0</v>
      </c>
      <c r="H69" s="49">
        <f>+Zal_1_WPF_wg_przeplywow!H54</f>
        <v>0</v>
      </c>
      <c r="I69" s="49">
        <f>+Zal_1_WPF_wg_przeplywow!I54</f>
        <v>0</v>
      </c>
      <c r="J69" s="49">
        <f>+Zal_1_WPF_wg_przeplywow!J54</f>
        <v>0</v>
      </c>
      <c r="K69" s="49">
        <f>+Zal_1_WPF_wg_przeplywow!K54</f>
        <v>0</v>
      </c>
      <c r="L69" s="49">
        <f>+Zal_1_WPF_wg_przeplywow!L54</f>
        <v>0</v>
      </c>
      <c r="M69" s="49">
        <f>+Zal_1_WPF_wg_przeplywow!M54</f>
        <v>0</v>
      </c>
      <c r="N69" s="49">
        <f>+Zal_1_WPF_wg_przeplywow!N54</f>
        <v>0</v>
      </c>
      <c r="O69" s="49">
        <f>+Zal_1_WPF_wg_przeplywow!O54</f>
        <v>0</v>
      </c>
      <c r="P69" s="49">
        <f>+Zal_1_WPF_wg_przeplywow!P54</f>
        <v>0</v>
      </c>
      <c r="Q69" s="49">
        <f>+Zal_1_WPF_wg_przeplywow!Q54</f>
        <v>0</v>
      </c>
      <c r="R69" s="49">
        <f>+Zal_1_WPF_wg_przeplywow!R54</f>
        <v>0</v>
      </c>
      <c r="S69" s="49">
        <f>+Zal_1_WPF_wg_przeplywow!S54</f>
        <v>0</v>
      </c>
      <c r="T69" s="49">
        <f>+Zal_1_WPF_wg_przeplywow!T54</f>
        <v>0</v>
      </c>
      <c r="U69" s="49">
        <f>+Zal_1_WPF_wg_przeplywow!U54</f>
        <v>0</v>
      </c>
      <c r="V69" s="49">
        <f>+Zal_1_WPF_wg_przeplywow!V54</f>
        <v>0</v>
      </c>
      <c r="W69" s="49">
        <f>+Zal_1_WPF_wg_przeplywow!W54</f>
        <v>0</v>
      </c>
      <c r="X69" s="49">
        <f>+Zal_1_WPF_wg_przeplywow!X54</f>
        <v>0</v>
      </c>
      <c r="Y69" s="49">
        <f>+Zal_1_WPF_wg_przeplywow!Y54</f>
        <v>0</v>
      </c>
      <c r="Z69" s="49">
        <f>+Zal_1_WPF_wg_przeplywow!Z54</f>
        <v>0</v>
      </c>
      <c r="AA69" s="49">
        <f>+Zal_1_WPF_wg_przeplywow!AA54</f>
        <v>0</v>
      </c>
      <c r="AB69" s="49">
        <f>+Zal_1_WPF_wg_przeplywow!AB54</f>
        <v>0</v>
      </c>
      <c r="AC69" s="49">
        <f>+Zal_1_WPF_wg_przeplywow!AC54</f>
        <v>0</v>
      </c>
      <c r="AD69" s="49">
        <f>+Zal_1_WPF_wg_przeplywow!AD54</f>
        <v>0</v>
      </c>
      <c r="AE69" s="49">
        <f>+Zal_1_WPF_wg_przeplywow!AE54</f>
        <v>0</v>
      </c>
      <c r="AF69" s="49">
        <f>+Zal_1_WPF_wg_przeplywow!AF54</f>
        <v>0</v>
      </c>
      <c r="AG69" s="49">
        <f>+Zal_1_WPF_wg_przeplywow!AG54</f>
        <v>0</v>
      </c>
    </row>
    <row r="70" spans="1:33" ht="24" outlineLevel="1">
      <c r="A70" s="47"/>
      <c r="B70" s="48" t="s">
        <v>283</v>
      </c>
      <c r="C70" s="49">
        <f>+Zal_1_WPF_wg_przeplywow!C55</f>
        <v>0</v>
      </c>
      <c r="D70" s="49">
        <f>+Zal_1_WPF_wg_przeplywow!D55</f>
        <v>0</v>
      </c>
      <c r="E70" s="49">
        <f>+Zal_1_WPF_wg_przeplywow!E55</f>
        <v>0</v>
      </c>
      <c r="F70" s="49">
        <f>+Zal_1_WPF_wg_przeplywow!F55</f>
        <v>0</v>
      </c>
      <c r="G70" s="49">
        <f>+Zal_1_WPF_wg_przeplywow!G55</f>
        <v>0</v>
      </c>
      <c r="H70" s="49">
        <f>+Zal_1_WPF_wg_przeplywow!H55</f>
        <v>0</v>
      </c>
      <c r="I70" s="49">
        <f>+Zal_1_WPF_wg_przeplywow!I55</f>
        <v>0</v>
      </c>
      <c r="J70" s="49">
        <f>+Zal_1_WPF_wg_przeplywow!J55</f>
        <v>0</v>
      </c>
      <c r="K70" s="49">
        <f>+Zal_1_WPF_wg_przeplywow!K55</f>
        <v>0</v>
      </c>
      <c r="L70" s="49">
        <f>+Zal_1_WPF_wg_przeplywow!L55</f>
        <v>0</v>
      </c>
      <c r="M70" s="49">
        <f>+Zal_1_WPF_wg_przeplywow!M55</f>
        <v>0</v>
      </c>
      <c r="N70" s="49">
        <f>+Zal_1_WPF_wg_przeplywow!N55</f>
        <v>0</v>
      </c>
      <c r="O70" s="49">
        <f>+Zal_1_WPF_wg_przeplywow!O55</f>
        <v>0</v>
      </c>
      <c r="P70" s="49">
        <f>+Zal_1_WPF_wg_przeplywow!P55</f>
        <v>0</v>
      </c>
      <c r="Q70" s="49">
        <f>+Zal_1_WPF_wg_przeplywow!Q55</f>
        <v>0</v>
      </c>
      <c r="R70" s="49">
        <f>+Zal_1_WPF_wg_przeplywow!R55</f>
        <v>0</v>
      </c>
      <c r="S70" s="49">
        <f>+Zal_1_WPF_wg_przeplywow!S55</f>
        <v>0</v>
      </c>
      <c r="T70" s="49">
        <f>+Zal_1_WPF_wg_przeplywow!T55</f>
        <v>0</v>
      </c>
      <c r="U70" s="49">
        <f>+Zal_1_WPF_wg_przeplywow!U55</f>
        <v>0</v>
      </c>
      <c r="V70" s="49">
        <f>+Zal_1_WPF_wg_przeplywow!V55</f>
        <v>0</v>
      </c>
      <c r="W70" s="49">
        <f>+Zal_1_WPF_wg_przeplywow!W55</f>
        <v>0</v>
      </c>
      <c r="X70" s="49">
        <f>+Zal_1_WPF_wg_przeplywow!X55</f>
        <v>0</v>
      </c>
      <c r="Y70" s="49">
        <f>+Zal_1_WPF_wg_przeplywow!Y55</f>
        <v>0</v>
      </c>
      <c r="Z70" s="49">
        <f>+Zal_1_WPF_wg_przeplywow!Z55</f>
        <v>0</v>
      </c>
      <c r="AA70" s="49">
        <f>+Zal_1_WPF_wg_przeplywow!AA55</f>
        <v>0</v>
      </c>
      <c r="AB70" s="49">
        <f>+Zal_1_WPF_wg_przeplywow!AB55</f>
        <v>0</v>
      </c>
      <c r="AC70" s="49">
        <f>+Zal_1_WPF_wg_przeplywow!AC55</f>
        <v>0</v>
      </c>
      <c r="AD70" s="49">
        <f>+Zal_1_WPF_wg_przeplywow!AD55</f>
        <v>0</v>
      </c>
      <c r="AE70" s="49">
        <f>+Zal_1_WPF_wg_przeplywow!AE55</f>
        <v>0</v>
      </c>
      <c r="AF70" s="49">
        <f>+Zal_1_WPF_wg_przeplywow!AF55</f>
        <v>0</v>
      </c>
      <c r="AG70" s="49">
        <f>+Zal_1_WPF_wg_przeplywow!AG55</f>
        <v>0</v>
      </c>
    </row>
    <row r="71" spans="1:33" ht="24" outlineLevel="1">
      <c r="A71" s="47"/>
      <c r="B71" s="48" t="s">
        <v>284</v>
      </c>
      <c r="C71" s="49">
        <f>+Zal_1_WPF_wg_przeplywow!C56</f>
        <v>0</v>
      </c>
      <c r="D71" s="49">
        <f>+Zal_1_WPF_wg_przeplywow!D56</f>
        <v>0</v>
      </c>
      <c r="E71" s="49">
        <f>+Zal_1_WPF_wg_przeplywow!E56</f>
        <v>0</v>
      </c>
      <c r="F71" s="49">
        <f>+Zal_1_WPF_wg_przeplywow!F56</f>
        <v>0</v>
      </c>
      <c r="G71" s="49">
        <f>+Zal_1_WPF_wg_przeplywow!G56</f>
        <v>0</v>
      </c>
      <c r="H71" s="49">
        <f>+Zal_1_WPF_wg_przeplywow!H56</f>
        <v>0</v>
      </c>
      <c r="I71" s="49">
        <f>+Zal_1_WPF_wg_przeplywow!I56</f>
        <v>0</v>
      </c>
      <c r="J71" s="49">
        <f>+Zal_1_WPF_wg_przeplywow!J56</f>
        <v>0</v>
      </c>
      <c r="K71" s="49">
        <f>+Zal_1_WPF_wg_przeplywow!K56</f>
        <v>0</v>
      </c>
      <c r="L71" s="49">
        <f>+Zal_1_WPF_wg_przeplywow!L56</f>
        <v>0</v>
      </c>
      <c r="M71" s="49">
        <f>+Zal_1_WPF_wg_przeplywow!M56</f>
        <v>0</v>
      </c>
      <c r="N71" s="49">
        <f>+Zal_1_WPF_wg_przeplywow!N56</f>
        <v>0</v>
      </c>
      <c r="O71" s="49">
        <f>+Zal_1_WPF_wg_przeplywow!O56</f>
        <v>0</v>
      </c>
      <c r="P71" s="49">
        <f>+Zal_1_WPF_wg_przeplywow!P56</f>
        <v>0</v>
      </c>
      <c r="Q71" s="49">
        <f>+Zal_1_WPF_wg_przeplywow!Q56</f>
        <v>0</v>
      </c>
      <c r="R71" s="49">
        <f>+Zal_1_WPF_wg_przeplywow!R56</f>
        <v>0</v>
      </c>
      <c r="S71" s="49">
        <f>+Zal_1_WPF_wg_przeplywow!S56</f>
        <v>0</v>
      </c>
      <c r="T71" s="49">
        <f>+Zal_1_WPF_wg_przeplywow!T56</f>
        <v>0</v>
      </c>
      <c r="U71" s="49">
        <f>+Zal_1_WPF_wg_przeplywow!U56</f>
        <v>0</v>
      </c>
      <c r="V71" s="49">
        <f>+Zal_1_WPF_wg_przeplywow!V56</f>
        <v>0</v>
      </c>
      <c r="W71" s="49">
        <f>+Zal_1_WPF_wg_przeplywow!W56</f>
        <v>0</v>
      </c>
      <c r="X71" s="49">
        <f>+Zal_1_WPF_wg_przeplywow!X56</f>
        <v>0</v>
      </c>
      <c r="Y71" s="49">
        <f>+Zal_1_WPF_wg_przeplywow!Y56</f>
        <v>0</v>
      </c>
      <c r="Z71" s="49">
        <f>+Zal_1_WPF_wg_przeplywow!Z56</f>
        <v>0</v>
      </c>
      <c r="AA71" s="49">
        <f>+Zal_1_WPF_wg_przeplywow!AA56</f>
        <v>0</v>
      </c>
      <c r="AB71" s="49">
        <f>+Zal_1_WPF_wg_przeplywow!AB56</f>
        <v>0</v>
      </c>
      <c r="AC71" s="49">
        <f>+Zal_1_WPF_wg_przeplywow!AC56</f>
        <v>0</v>
      </c>
      <c r="AD71" s="49">
        <f>+Zal_1_WPF_wg_przeplywow!AD56</f>
        <v>0</v>
      </c>
      <c r="AE71" s="49">
        <f>+Zal_1_WPF_wg_przeplywow!AE56</f>
        <v>0</v>
      </c>
      <c r="AF71" s="49">
        <f>+Zal_1_WPF_wg_przeplywow!AF56</f>
        <v>0</v>
      </c>
      <c r="AG71" s="49">
        <f>+Zal_1_WPF_wg_przeplywow!AG56</f>
        <v>0</v>
      </c>
    </row>
    <row r="72" spans="1:33" ht="24" outlineLevel="1">
      <c r="A72" s="47"/>
      <c r="B72" s="48" t="s">
        <v>285</v>
      </c>
      <c r="C72" s="49">
        <f>+Zal_1_WPF_wg_przeplywow!C57</f>
        <v>0</v>
      </c>
      <c r="D72" s="49">
        <f>+Zal_1_WPF_wg_przeplywow!D57</f>
        <v>0</v>
      </c>
      <c r="E72" s="49">
        <f>+Zal_1_WPF_wg_przeplywow!E57</f>
        <v>0</v>
      </c>
      <c r="F72" s="49">
        <f>+Zal_1_WPF_wg_przeplywow!F57</f>
        <v>0</v>
      </c>
      <c r="G72" s="49">
        <f>+Zal_1_WPF_wg_przeplywow!G57</f>
        <v>0</v>
      </c>
      <c r="H72" s="49">
        <f>+Zal_1_WPF_wg_przeplywow!H57</f>
        <v>0</v>
      </c>
      <c r="I72" s="49">
        <f>+Zal_1_WPF_wg_przeplywow!I57</f>
        <v>0</v>
      </c>
      <c r="J72" s="49">
        <f>+Zal_1_WPF_wg_przeplywow!J57</f>
        <v>0</v>
      </c>
      <c r="K72" s="49">
        <f>+Zal_1_WPF_wg_przeplywow!K57</f>
        <v>0</v>
      </c>
      <c r="L72" s="49">
        <f>+Zal_1_WPF_wg_przeplywow!L57</f>
        <v>0</v>
      </c>
      <c r="M72" s="49">
        <f>+Zal_1_WPF_wg_przeplywow!M57</f>
        <v>0</v>
      </c>
      <c r="N72" s="49">
        <f>+Zal_1_WPF_wg_przeplywow!N57</f>
        <v>0</v>
      </c>
      <c r="O72" s="49">
        <f>+Zal_1_WPF_wg_przeplywow!O57</f>
        <v>0</v>
      </c>
      <c r="P72" s="49">
        <f>+Zal_1_WPF_wg_przeplywow!P57</f>
        <v>0</v>
      </c>
      <c r="Q72" s="49">
        <f>+Zal_1_WPF_wg_przeplywow!Q57</f>
        <v>0</v>
      </c>
      <c r="R72" s="49">
        <f>+Zal_1_WPF_wg_przeplywow!R57</f>
        <v>0</v>
      </c>
      <c r="S72" s="49">
        <f>+Zal_1_WPF_wg_przeplywow!S57</f>
        <v>0</v>
      </c>
      <c r="T72" s="49">
        <f>+Zal_1_WPF_wg_przeplywow!T57</f>
        <v>0</v>
      </c>
      <c r="U72" s="49">
        <f>+Zal_1_WPF_wg_przeplywow!U57</f>
        <v>0</v>
      </c>
      <c r="V72" s="49">
        <f>+Zal_1_WPF_wg_przeplywow!V57</f>
        <v>0</v>
      </c>
      <c r="W72" s="49">
        <f>+Zal_1_WPF_wg_przeplywow!W57</f>
        <v>0</v>
      </c>
      <c r="X72" s="49">
        <f>+Zal_1_WPF_wg_przeplywow!X57</f>
        <v>0</v>
      </c>
      <c r="Y72" s="49">
        <f>+Zal_1_WPF_wg_przeplywow!Y57</f>
        <v>0</v>
      </c>
      <c r="Z72" s="49">
        <f>+Zal_1_WPF_wg_przeplywow!Z57</f>
        <v>0</v>
      </c>
      <c r="AA72" s="49">
        <f>+Zal_1_WPF_wg_przeplywow!AA57</f>
        <v>0</v>
      </c>
      <c r="AB72" s="49">
        <f>+Zal_1_WPF_wg_przeplywow!AB57</f>
        <v>0</v>
      </c>
      <c r="AC72" s="49">
        <f>+Zal_1_WPF_wg_przeplywow!AC57</f>
        <v>0</v>
      </c>
      <c r="AD72" s="49">
        <f>+Zal_1_WPF_wg_przeplywow!AD57</f>
        <v>0</v>
      </c>
      <c r="AE72" s="49">
        <f>+Zal_1_WPF_wg_przeplywow!AE57</f>
        <v>0</v>
      </c>
      <c r="AF72" s="49">
        <f>+Zal_1_WPF_wg_przeplywow!AF57</f>
        <v>0</v>
      </c>
      <c r="AG72" s="49">
        <f>+Zal_1_WPF_wg_przeplywow!AG57</f>
        <v>0</v>
      </c>
    </row>
    <row r="73" spans="1:33" ht="36" outlineLevel="1">
      <c r="A73" s="61"/>
      <c r="B73" s="62" t="s">
        <v>286</v>
      </c>
      <c r="C73" s="63">
        <f>+Zal_1_WPF_wg_przeplywow!C58</f>
        <v>0</v>
      </c>
      <c r="D73" s="63">
        <f>+Zal_1_WPF_wg_przeplywow!D58</f>
        <v>0</v>
      </c>
      <c r="E73" s="63">
        <f>+Zal_1_WPF_wg_przeplywow!E58</f>
        <v>0</v>
      </c>
      <c r="F73" s="63">
        <f>+Zal_1_WPF_wg_przeplywow!F58</f>
        <v>0</v>
      </c>
      <c r="G73" s="63">
        <f>+Zal_1_WPF_wg_przeplywow!G58</f>
        <v>0</v>
      </c>
      <c r="H73" s="63">
        <f>+Zal_1_WPF_wg_przeplywow!H58</f>
        <v>0</v>
      </c>
      <c r="I73" s="63">
        <f>+Zal_1_WPF_wg_przeplywow!I58</f>
        <v>0</v>
      </c>
      <c r="J73" s="63">
        <f>+Zal_1_WPF_wg_przeplywow!J58</f>
        <v>0</v>
      </c>
      <c r="K73" s="63">
        <f>+Zal_1_WPF_wg_przeplywow!K58</f>
        <v>0</v>
      </c>
      <c r="L73" s="63">
        <f>+Zal_1_WPF_wg_przeplywow!L58</f>
        <v>0</v>
      </c>
      <c r="M73" s="63">
        <f>+Zal_1_WPF_wg_przeplywow!M58</f>
        <v>0</v>
      </c>
      <c r="N73" s="63">
        <f>+Zal_1_WPF_wg_przeplywow!N58</f>
        <v>0</v>
      </c>
      <c r="O73" s="63">
        <f>+Zal_1_WPF_wg_przeplywow!O58</f>
        <v>0</v>
      </c>
      <c r="P73" s="63">
        <f>+Zal_1_WPF_wg_przeplywow!P58</f>
        <v>0</v>
      </c>
      <c r="Q73" s="63">
        <f>+Zal_1_WPF_wg_przeplywow!Q58</f>
        <v>0</v>
      </c>
      <c r="R73" s="63">
        <f>+Zal_1_WPF_wg_przeplywow!R58</f>
        <v>0</v>
      </c>
      <c r="S73" s="63">
        <f>+Zal_1_WPF_wg_przeplywow!S58</f>
        <v>0</v>
      </c>
      <c r="T73" s="63">
        <f>+Zal_1_WPF_wg_przeplywow!T58</f>
        <v>0</v>
      </c>
      <c r="U73" s="63">
        <f>+Zal_1_WPF_wg_przeplywow!U58</f>
        <v>0</v>
      </c>
      <c r="V73" s="63">
        <f>+Zal_1_WPF_wg_przeplywow!V58</f>
        <v>0</v>
      </c>
      <c r="W73" s="63">
        <f>+Zal_1_WPF_wg_przeplywow!W58</f>
        <v>0</v>
      </c>
      <c r="X73" s="63">
        <f>+Zal_1_WPF_wg_przeplywow!X58</f>
        <v>0</v>
      </c>
      <c r="Y73" s="63">
        <f>+Zal_1_WPF_wg_przeplywow!Y58</f>
        <v>0</v>
      </c>
      <c r="Z73" s="63">
        <f>+Zal_1_WPF_wg_przeplywow!Z58</f>
        <v>0</v>
      </c>
      <c r="AA73" s="63">
        <f>+Zal_1_WPF_wg_przeplywow!AA58</f>
        <v>0</v>
      </c>
      <c r="AB73" s="63">
        <f>+Zal_1_WPF_wg_przeplywow!AB58</f>
        <v>0</v>
      </c>
      <c r="AC73" s="63">
        <f>+Zal_1_WPF_wg_przeplywow!AC58</f>
        <v>0</v>
      </c>
      <c r="AD73" s="63">
        <f>+Zal_1_WPF_wg_przeplywow!AD58</f>
        <v>0</v>
      </c>
      <c r="AE73" s="63">
        <f>+Zal_1_WPF_wg_przeplywow!AE58</f>
        <v>0</v>
      </c>
      <c r="AF73" s="63">
        <f>+Zal_1_WPF_wg_przeplywow!AF58</f>
        <v>0</v>
      </c>
      <c r="AG73" s="63">
        <f>+Zal_1_WPF_wg_przeplywow!AG58</f>
        <v>0</v>
      </c>
    </row>
    <row r="74" spans="1:255" s="2" customFormat="1" ht="14.25">
      <c r="A74" s="19"/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1:255" s="2" customFormat="1" ht="14.25">
      <c r="A75" s="19"/>
      <c r="B75" s="31" t="s">
        <v>86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ht="14.25">
      <c r="B76" s="31" t="s">
        <v>135</v>
      </c>
    </row>
    <row r="77" ht="14.25">
      <c r="B77" s="31"/>
    </row>
    <row r="79" ht="15">
      <c r="B79" s="133" t="s">
        <v>154</v>
      </c>
    </row>
    <row r="80" ht="14.25" outlineLevel="1">
      <c r="B80" s="119" t="s">
        <v>158</v>
      </c>
    </row>
    <row r="81" ht="14.25" outlineLevel="1">
      <c r="B81" s="118" t="s">
        <v>159</v>
      </c>
    </row>
    <row r="82" ht="14.25" outlineLevel="1"/>
    <row r="83" spans="2:33" ht="14.25" outlineLevel="1">
      <c r="B83" s="120" t="s">
        <v>141</v>
      </c>
      <c r="C83" s="121" t="str">
        <f aca="true" t="shared" si="5" ref="C83:AG83">IF(((C6+C30)-(C14+C39))=0,"OK.",+(C6+C30)-(C14+C39))</f>
        <v>OK.</v>
      </c>
      <c r="D83" s="121" t="str">
        <f t="shared" si="5"/>
        <v>OK.</v>
      </c>
      <c r="E83" s="121" t="str">
        <f t="shared" si="5"/>
        <v>OK.</v>
      </c>
      <c r="F83" s="121" t="str">
        <f t="shared" si="5"/>
        <v>OK.</v>
      </c>
      <c r="G83" s="121" t="str">
        <f t="shared" si="5"/>
        <v>OK.</v>
      </c>
      <c r="H83" s="121" t="str">
        <f t="shared" si="5"/>
        <v>OK.</v>
      </c>
      <c r="I83" s="121" t="str">
        <f t="shared" si="5"/>
        <v>OK.</v>
      </c>
      <c r="J83" s="121" t="str">
        <f t="shared" si="5"/>
        <v>OK.</v>
      </c>
      <c r="K83" s="121" t="str">
        <f t="shared" si="5"/>
        <v>OK.</v>
      </c>
      <c r="L83" s="121" t="str">
        <f t="shared" si="5"/>
        <v>OK.</v>
      </c>
      <c r="M83" s="121" t="str">
        <f t="shared" si="5"/>
        <v>OK.</v>
      </c>
      <c r="N83" s="121" t="str">
        <f t="shared" si="5"/>
        <v>OK.</v>
      </c>
      <c r="O83" s="121" t="str">
        <f t="shared" si="5"/>
        <v>OK.</v>
      </c>
      <c r="P83" s="121" t="str">
        <f t="shared" si="5"/>
        <v>OK.</v>
      </c>
      <c r="Q83" s="121" t="str">
        <f t="shared" si="5"/>
        <v>OK.</v>
      </c>
      <c r="R83" s="121" t="str">
        <f t="shared" si="5"/>
        <v>OK.</v>
      </c>
      <c r="S83" s="121" t="str">
        <f t="shared" si="5"/>
        <v>OK.</v>
      </c>
      <c r="T83" s="121" t="str">
        <f t="shared" si="5"/>
        <v>OK.</v>
      </c>
      <c r="U83" s="121" t="str">
        <f t="shared" si="5"/>
        <v>OK.</v>
      </c>
      <c r="V83" s="121" t="str">
        <f t="shared" si="5"/>
        <v>OK.</v>
      </c>
      <c r="W83" s="121" t="str">
        <f t="shared" si="5"/>
        <v>OK.</v>
      </c>
      <c r="X83" s="121" t="str">
        <f t="shared" si="5"/>
        <v>OK.</v>
      </c>
      <c r="Y83" s="121" t="str">
        <f t="shared" si="5"/>
        <v>OK.</v>
      </c>
      <c r="Z83" s="121" t="str">
        <f t="shared" si="5"/>
        <v>OK.</v>
      </c>
      <c r="AA83" s="121" t="str">
        <f t="shared" si="5"/>
        <v>OK.</v>
      </c>
      <c r="AB83" s="121" t="str">
        <f t="shared" si="5"/>
        <v>OK.</v>
      </c>
      <c r="AC83" s="121" t="str">
        <f t="shared" si="5"/>
        <v>OK.</v>
      </c>
      <c r="AD83" s="121" t="str">
        <f t="shared" si="5"/>
        <v>OK.</v>
      </c>
      <c r="AE83" s="121" t="str">
        <f t="shared" si="5"/>
        <v>OK.</v>
      </c>
      <c r="AF83" s="121" t="str">
        <f t="shared" si="5"/>
        <v>OK.</v>
      </c>
      <c r="AG83" s="121" t="str">
        <f t="shared" si="5"/>
        <v>OK.</v>
      </c>
    </row>
    <row r="84" spans="2:33" ht="14.25" outlineLevel="1">
      <c r="B84" s="173" t="s">
        <v>195</v>
      </c>
      <c r="C84" s="172" t="str">
        <f>IF(C48&lt;=15%,"OK.","Przekroczenie")</f>
        <v>OK.</v>
      </c>
      <c r="D84" s="172" t="str">
        <f>IF(D48&lt;=15%,"OK.","Przekroczenie")</f>
        <v>OK.</v>
      </c>
      <c r="E84" s="174" t="s">
        <v>174</v>
      </c>
      <c r="F84" s="174" t="s">
        <v>174</v>
      </c>
      <c r="G84" s="174" t="s">
        <v>174</v>
      </c>
      <c r="H84" s="174" t="s">
        <v>174</v>
      </c>
      <c r="I84" s="174" t="s">
        <v>174</v>
      </c>
      <c r="J84" s="174" t="s">
        <v>174</v>
      </c>
      <c r="K84" s="174" t="s">
        <v>174</v>
      </c>
      <c r="L84" s="174" t="s">
        <v>174</v>
      </c>
      <c r="M84" s="174" t="s">
        <v>174</v>
      </c>
      <c r="N84" s="174" t="s">
        <v>174</v>
      </c>
      <c r="O84" s="174" t="s">
        <v>174</v>
      </c>
      <c r="P84" s="174" t="s">
        <v>174</v>
      </c>
      <c r="Q84" s="174" t="s">
        <v>174</v>
      </c>
      <c r="R84" s="174" t="s">
        <v>174</v>
      </c>
      <c r="S84" s="174" t="s">
        <v>174</v>
      </c>
      <c r="T84" s="174" t="s">
        <v>174</v>
      </c>
      <c r="U84" s="174" t="s">
        <v>174</v>
      </c>
      <c r="V84" s="174" t="s">
        <v>174</v>
      </c>
      <c r="W84" s="174" t="s">
        <v>174</v>
      </c>
      <c r="X84" s="174" t="s">
        <v>174</v>
      </c>
      <c r="Y84" s="174" t="s">
        <v>174</v>
      </c>
      <c r="Z84" s="174" t="s">
        <v>174</v>
      </c>
      <c r="AA84" s="174" t="s">
        <v>174</v>
      </c>
      <c r="AB84" s="174" t="s">
        <v>174</v>
      </c>
      <c r="AC84" s="174" t="s">
        <v>174</v>
      </c>
      <c r="AD84" s="174" t="s">
        <v>174</v>
      </c>
      <c r="AE84" s="174" t="s">
        <v>174</v>
      </c>
      <c r="AF84" s="174" t="s">
        <v>174</v>
      </c>
      <c r="AG84" s="174" t="s">
        <v>174</v>
      </c>
    </row>
    <row r="85" spans="2:33" ht="14.25" outlineLevel="1">
      <c r="B85" s="173" t="s">
        <v>196</v>
      </c>
      <c r="C85" s="172" t="str">
        <f>IF(C49&lt;=15%,"OK.","Przekroczenie")</f>
        <v>OK.</v>
      </c>
      <c r="D85" s="172" t="str">
        <f>IF(D49&lt;=15%,"OK.","Przekroczenie")</f>
        <v>OK.</v>
      </c>
      <c r="E85" s="174" t="s">
        <v>174</v>
      </c>
      <c r="F85" s="174" t="s">
        <v>174</v>
      </c>
      <c r="G85" s="174" t="s">
        <v>174</v>
      </c>
      <c r="H85" s="174" t="s">
        <v>174</v>
      </c>
      <c r="I85" s="174" t="s">
        <v>174</v>
      </c>
      <c r="J85" s="174" t="s">
        <v>174</v>
      </c>
      <c r="K85" s="174" t="s">
        <v>174</v>
      </c>
      <c r="L85" s="174" t="s">
        <v>174</v>
      </c>
      <c r="M85" s="174" t="s">
        <v>174</v>
      </c>
      <c r="N85" s="174" t="s">
        <v>174</v>
      </c>
      <c r="O85" s="174" t="s">
        <v>174</v>
      </c>
      <c r="P85" s="174" t="s">
        <v>174</v>
      </c>
      <c r="Q85" s="174" t="s">
        <v>174</v>
      </c>
      <c r="R85" s="174" t="s">
        <v>174</v>
      </c>
      <c r="S85" s="174" t="s">
        <v>174</v>
      </c>
      <c r="T85" s="174" t="s">
        <v>174</v>
      </c>
      <c r="U85" s="174" t="s">
        <v>174</v>
      </c>
      <c r="V85" s="174" t="s">
        <v>174</v>
      </c>
      <c r="W85" s="174" t="s">
        <v>174</v>
      </c>
      <c r="X85" s="174" t="s">
        <v>174</v>
      </c>
      <c r="Y85" s="174" t="s">
        <v>174</v>
      </c>
      <c r="Z85" s="174" t="s">
        <v>174</v>
      </c>
      <c r="AA85" s="174" t="s">
        <v>174</v>
      </c>
      <c r="AB85" s="174" t="s">
        <v>174</v>
      </c>
      <c r="AC85" s="174" t="s">
        <v>174</v>
      </c>
      <c r="AD85" s="174" t="s">
        <v>174</v>
      </c>
      <c r="AE85" s="174" t="s">
        <v>174</v>
      </c>
      <c r="AF85" s="174" t="s">
        <v>174</v>
      </c>
      <c r="AG85" s="174" t="s">
        <v>174</v>
      </c>
    </row>
    <row r="86" spans="2:33" ht="14.25" outlineLevel="1">
      <c r="B86" s="173" t="s">
        <v>193</v>
      </c>
      <c r="C86" s="172" t="str">
        <f>IF(C46&lt;=60%,"OK.","Przekroczenie")</f>
        <v>OK.</v>
      </c>
      <c r="D86" s="172" t="str">
        <f>IF(D46&lt;=60%,"OK.","Przekroczenie")</f>
        <v>OK.</v>
      </c>
      <c r="E86" s="174" t="s">
        <v>174</v>
      </c>
      <c r="F86" s="174" t="s">
        <v>174</v>
      </c>
      <c r="G86" s="174" t="s">
        <v>174</v>
      </c>
      <c r="H86" s="174" t="s">
        <v>174</v>
      </c>
      <c r="I86" s="174" t="s">
        <v>174</v>
      </c>
      <c r="J86" s="174" t="s">
        <v>174</v>
      </c>
      <c r="K86" s="174" t="s">
        <v>174</v>
      </c>
      <c r="L86" s="174" t="s">
        <v>174</v>
      </c>
      <c r="M86" s="174" t="s">
        <v>174</v>
      </c>
      <c r="N86" s="174" t="s">
        <v>174</v>
      </c>
      <c r="O86" s="174" t="s">
        <v>174</v>
      </c>
      <c r="P86" s="174" t="s">
        <v>174</v>
      </c>
      <c r="Q86" s="174" t="s">
        <v>174</v>
      </c>
      <c r="R86" s="174" t="s">
        <v>174</v>
      </c>
      <c r="S86" s="174" t="s">
        <v>174</v>
      </c>
      <c r="T86" s="174" t="s">
        <v>174</v>
      </c>
      <c r="U86" s="174" t="s">
        <v>174</v>
      </c>
      <c r="V86" s="174" t="s">
        <v>174</v>
      </c>
      <c r="W86" s="174" t="s">
        <v>174</v>
      </c>
      <c r="X86" s="174" t="s">
        <v>174</v>
      </c>
      <c r="Y86" s="174" t="s">
        <v>174</v>
      </c>
      <c r="Z86" s="174" t="s">
        <v>174</v>
      </c>
      <c r="AA86" s="174" t="s">
        <v>174</v>
      </c>
      <c r="AB86" s="174" t="s">
        <v>174</v>
      </c>
      <c r="AC86" s="174" t="s">
        <v>174</v>
      </c>
      <c r="AD86" s="174" t="s">
        <v>174</v>
      </c>
      <c r="AE86" s="174" t="s">
        <v>174</v>
      </c>
      <c r="AF86" s="174" t="s">
        <v>174</v>
      </c>
      <c r="AG86" s="174" t="s">
        <v>174</v>
      </c>
    </row>
    <row r="87" spans="2:33" ht="14.25" outlineLevel="1">
      <c r="B87" s="173" t="s">
        <v>197</v>
      </c>
      <c r="C87" s="172" t="str">
        <f>IF(C47&lt;=60%,"OK.","Przekroczenie")</f>
        <v>OK.</v>
      </c>
      <c r="D87" s="172" t="str">
        <f>IF(D47&lt;=60%,"OK.","Przekroczenie")</f>
        <v>OK.</v>
      </c>
      <c r="E87" s="174" t="s">
        <v>174</v>
      </c>
      <c r="F87" s="174" t="s">
        <v>174</v>
      </c>
      <c r="G87" s="174" t="s">
        <v>174</v>
      </c>
      <c r="H87" s="174" t="s">
        <v>174</v>
      </c>
      <c r="I87" s="174" t="s">
        <v>174</v>
      </c>
      <c r="J87" s="174" t="s">
        <v>174</v>
      </c>
      <c r="K87" s="174" t="s">
        <v>174</v>
      </c>
      <c r="L87" s="174" t="s">
        <v>174</v>
      </c>
      <c r="M87" s="174" t="s">
        <v>174</v>
      </c>
      <c r="N87" s="174" t="s">
        <v>174</v>
      </c>
      <c r="O87" s="174" t="s">
        <v>174</v>
      </c>
      <c r="P87" s="174" t="s">
        <v>174</v>
      </c>
      <c r="Q87" s="174" t="s">
        <v>174</v>
      </c>
      <c r="R87" s="174" t="s">
        <v>174</v>
      </c>
      <c r="S87" s="174" t="s">
        <v>174</v>
      </c>
      <c r="T87" s="174" t="s">
        <v>174</v>
      </c>
      <c r="U87" s="174" t="s">
        <v>174</v>
      </c>
      <c r="V87" s="174" t="s">
        <v>174</v>
      </c>
      <c r="W87" s="174" t="s">
        <v>174</v>
      </c>
      <c r="X87" s="174" t="s">
        <v>174</v>
      </c>
      <c r="Y87" s="174" t="s">
        <v>174</v>
      </c>
      <c r="Z87" s="174" t="s">
        <v>174</v>
      </c>
      <c r="AA87" s="174" t="s">
        <v>174</v>
      </c>
      <c r="AB87" s="174" t="s">
        <v>174</v>
      </c>
      <c r="AC87" s="174" t="s">
        <v>174</v>
      </c>
      <c r="AD87" s="174" t="s">
        <v>174</v>
      </c>
      <c r="AE87" s="174" t="s">
        <v>174</v>
      </c>
      <c r="AF87" s="174" t="s">
        <v>174</v>
      </c>
      <c r="AG87" s="174" t="s">
        <v>174</v>
      </c>
    </row>
    <row r="88" spans="2:33" ht="33.75" outlineLevel="1">
      <c r="B88" s="173" t="s">
        <v>194</v>
      </c>
      <c r="C88" s="172" t="str">
        <f>IF((C7+C32+C34)&gt;=C15,"OK.",C7+C34+C32-C15)</f>
        <v>OK.</v>
      </c>
      <c r="D88" s="172" t="str">
        <f aca="true" t="shared" si="6" ref="D88:AG88">IF((D7+D32+D34)&gt;=D15,"OK.",D7+D34+D32-D15)</f>
        <v>OK.</v>
      </c>
      <c r="E88" s="172" t="str">
        <f t="shared" si="6"/>
        <v>OK.</v>
      </c>
      <c r="F88" s="172" t="str">
        <f t="shared" si="6"/>
        <v>OK.</v>
      </c>
      <c r="G88" s="172" t="str">
        <f t="shared" si="6"/>
        <v>OK.</v>
      </c>
      <c r="H88" s="172" t="str">
        <f t="shared" si="6"/>
        <v>OK.</v>
      </c>
      <c r="I88" s="172" t="str">
        <f t="shared" si="6"/>
        <v>OK.</v>
      </c>
      <c r="J88" s="172" t="str">
        <f t="shared" si="6"/>
        <v>OK.</v>
      </c>
      <c r="K88" s="172" t="str">
        <f t="shared" si="6"/>
        <v>OK.</v>
      </c>
      <c r="L88" s="172" t="str">
        <f t="shared" si="6"/>
        <v>OK.</v>
      </c>
      <c r="M88" s="172" t="str">
        <f t="shared" si="6"/>
        <v>OK.</v>
      </c>
      <c r="N88" s="172" t="str">
        <f t="shared" si="6"/>
        <v>OK.</v>
      </c>
      <c r="O88" s="172" t="str">
        <f t="shared" si="6"/>
        <v>OK.</v>
      </c>
      <c r="P88" s="172" t="str">
        <f t="shared" si="6"/>
        <v>OK.</v>
      </c>
      <c r="Q88" s="172" t="str">
        <f t="shared" si="6"/>
        <v>OK.</v>
      </c>
      <c r="R88" s="172" t="str">
        <f t="shared" si="6"/>
        <v>OK.</v>
      </c>
      <c r="S88" s="172" t="str">
        <f t="shared" si="6"/>
        <v>OK.</v>
      </c>
      <c r="T88" s="172" t="str">
        <f t="shared" si="6"/>
        <v>OK.</v>
      </c>
      <c r="U88" s="172" t="str">
        <f t="shared" si="6"/>
        <v>OK.</v>
      </c>
      <c r="V88" s="172" t="str">
        <f t="shared" si="6"/>
        <v>OK.</v>
      </c>
      <c r="W88" s="172" t="str">
        <f t="shared" si="6"/>
        <v>OK.</v>
      </c>
      <c r="X88" s="172" t="str">
        <f t="shared" si="6"/>
        <v>OK.</v>
      </c>
      <c r="Y88" s="172" t="str">
        <f t="shared" si="6"/>
        <v>OK.</v>
      </c>
      <c r="Z88" s="172" t="str">
        <f t="shared" si="6"/>
        <v>OK.</v>
      </c>
      <c r="AA88" s="172" t="str">
        <f t="shared" si="6"/>
        <v>OK.</v>
      </c>
      <c r="AB88" s="172" t="str">
        <f t="shared" si="6"/>
        <v>OK.</v>
      </c>
      <c r="AC88" s="172" t="str">
        <f t="shared" si="6"/>
        <v>OK.</v>
      </c>
      <c r="AD88" s="172" t="str">
        <f t="shared" si="6"/>
        <v>OK.</v>
      </c>
      <c r="AE88" s="172" t="str">
        <f t="shared" si="6"/>
        <v>OK.</v>
      </c>
      <c r="AF88" s="172" t="str">
        <f t="shared" si="6"/>
        <v>OK.</v>
      </c>
      <c r="AG88" s="172" t="str">
        <f t="shared" si="6"/>
        <v>OK.</v>
      </c>
    </row>
    <row r="89" spans="2:33" ht="22.5" outlineLevel="1">
      <c r="B89" s="123" t="s">
        <v>160</v>
      </c>
      <c r="C89" s="122" t="str">
        <f>+IF(C27&gt;0,IF((C38+C36+C32+C34)&gt;0,"Błąd","OK."),"nie dotyczy")</f>
        <v>OK.</v>
      </c>
      <c r="D89" s="122" t="str">
        <f aca="true" t="shared" si="7" ref="D89:AG89">+IF(D27&gt;0,IF((D38+D36+D32+D34)&gt;0,"Błąd","OK."),"nie dotyczy")</f>
        <v>OK.</v>
      </c>
      <c r="E89" s="122" t="str">
        <f t="shared" si="7"/>
        <v>OK.</v>
      </c>
      <c r="F89" s="122" t="str">
        <f t="shared" si="7"/>
        <v>OK.</v>
      </c>
      <c r="G89" s="122" t="str">
        <f t="shared" si="7"/>
        <v>OK.</v>
      </c>
      <c r="H89" s="122" t="str">
        <f t="shared" si="7"/>
        <v>OK.</v>
      </c>
      <c r="I89" s="122" t="str">
        <f t="shared" si="7"/>
        <v>OK.</v>
      </c>
      <c r="J89" s="122" t="str">
        <f t="shared" si="7"/>
        <v>OK.</v>
      </c>
      <c r="K89" s="122" t="str">
        <f t="shared" si="7"/>
        <v>OK.</v>
      </c>
      <c r="L89" s="122" t="str">
        <f t="shared" si="7"/>
        <v>OK.</v>
      </c>
      <c r="M89" s="122" t="str">
        <f t="shared" si="7"/>
        <v>nie dotyczy</v>
      </c>
      <c r="N89" s="122" t="str">
        <f t="shared" si="7"/>
        <v>nie dotyczy</v>
      </c>
      <c r="O89" s="122" t="str">
        <f t="shared" si="7"/>
        <v>nie dotyczy</v>
      </c>
      <c r="P89" s="122" t="str">
        <f t="shared" si="7"/>
        <v>nie dotyczy</v>
      </c>
      <c r="Q89" s="122" t="str">
        <f t="shared" si="7"/>
        <v>nie dotyczy</v>
      </c>
      <c r="R89" s="122" t="str">
        <f t="shared" si="7"/>
        <v>nie dotyczy</v>
      </c>
      <c r="S89" s="122" t="str">
        <f t="shared" si="7"/>
        <v>nie dotyczy</v>
      </c>
      <c r="T89" s="122" t="str">
        <f t="shared" si="7"/>
        <v>nie dotyczy</v>
      </c>
      <c r="U89" s="122" t="str">
        <f t="shared" si="7"/>
        <v>nie dotyczy</v>
      </c>
      <c r="V89" s="122" t="str">
        <f t="shared" si="7"/>
        <v>nie dotyczy</v>
      </c>
      <c r="W89" s="122" t="str">
        <f t="shared" si="7"/>
        <v>nie dotyczy</v>
      </c>
      <c r="X89" s="122" t="str">
        <f t="shared" si="7"/>
        <v>nie dotyczy</v>
      </c>
      <c r="Y89" s="122" t="str">
        <f t="shared" si="7"/>
        <v>nie dotyczy</v>
      </c>
      <c r="Z89" s="122" t="str">
        <f t="shared" si="7"/>
        <v>nie dotyczy</v>
      </c>
      <c r="AA89" s="122" t="str">
        <f t="shared" si="7"/>
        <v>nie dotyczy</v>
      </c>
      <c r="AB89" s="122" t="str">
        <f t="shared" si="7"/>
        <v>nie dotyczy</v>
      </c>
      <c r="AC89" s="122" t="str">
        <f t="shared" si="7"/>
        <v>nie dotyczy</v>
      </c>
      <c r="AD89" s="122" t="str">
        <f t="shared" si="7"/>
        <v>nie dotyczy</v>
      </c>
      <c r="AE89" s="122" t="str">
        <f t="shared" si="7"/>
        <v>nie dotyczy</v>
      </c>
      <c r="AF89" s="122" t="str">
        <f t="shared" si="7"/>
        <v>nie dotyczy</v>
      </c>
      <c r="AG89" s="122" t="str">
        <f t="shared" si="7"/>
        <v>nie dotyczy</v>
      </c>
    </row>
    <row r="90" spans="2:33" ht="22.5" outlineLevel="1">
      <c r="B90" s="123" t="s">
        <v>145</v>
      </c>
      <c r="C90" s="122" t="str">
        <f>IF(C27&lt;=0,IF(ROUND((+C27+(C32+C34+C36+C38)),4)=0,"OK.",+C27+(C32+C34+C36+C38)),"nie dotyczy")</f>
        <v>nie dotyczy</v>
      </c>
      <c r="D90" s="122" t="str">
        <f aca="true" t="shared" si="8" ref="D90:AG90">IF(D27&lt;=0,IF(ROUND((+D27+(D32+D34+D36+D38)),4)=0,"OK.",+D27+(D32+D34+D36+D38)),"nie dotyczy")</f>
        <v>nie dotyczy</v>
      </c>
      <c r="E90" s="122" t="str">
        <f t="shared" si="8"/>
        <v>nie dotyczy</v>
      </c>
      <c r="F90" s="122" t="str">
        <f t="shared" si="8"/>
        <v>nie dotyczy</v>
      </c>
      <c r="G90" s="122" t="str">
        <f t="shared" si="8"/>
        <v>nie dotyczy</v>
      </c>
      <c r="H90" s="122" t="str">
        <f t="shared" si="8"/>
        <v>nie dotyczy</v>
      </c>
      <c r="I90" s="122" t="str">
        <f t="shared" si="8"/>
        <v>nie dotyczy</v>
      </c>
      <c r="J90" s="122" t="str">
        <f t="shared" si="8"/>
        <v>nie dotyczy</v>
      </c>
      <c r="K90" s="122" t="str">
        <f t="shared" si="8"/>
        <v>nie dotyczy</v>
      </c>
      <c r="L90" s="122" t="str">
        <f t="shared" si="8"/>
        <v>nie dotyczy</v>
      </c>
      <c r="M90" s="122" t="str">
        <f t="shared" si="8"/>
        <v>OK.</v>
      </c>
      <c r="N90" s="122" t="str">
        <f t="shared" si="8"/>
        <v>OK.</v>
      </c>
      <c r="O90" s="122" t="str">
        <f t="shared" si="8"/>
        <v>OK.</v>
      </c>
      <c r="P90" s="122" t="str">
        <f t="shared" si="8"/>
        <v>OK.</v>
      </c>
      <c r="Q90" s="122" t="str">
        <f t="shared" si="8"/>
        <v>OK.</v>
      </c>
      <c r="R90" s="122" t="str">
        <f t="shared" si="8"/>
        <v>OK.</v>
      </c>
      <c r="S90" s="122" t="str">
        <f t="shared" si="8"/>
        <v>OK.</v>
      </c>
      <c r="T90" s="122" t="str">
        <f t="shared" si="8"/>
        <v>OK.</v>
      </c>
      <c r="U90" s="122" t="str">
        <f t="shared" si="8"/>
        <v>OK.</v>
      </c>
      <c r="V90" s="122" t="str">
        <f t="shared" si="8"/>
        <v>OK.</v>
      </c>
      <c r="W90" s="122" t="str">
        <f t="shared" si="8"/>
        <v>OK.</v>
      </c>
      <c r="X90" s="122" t="str">
        <f t="shared" si="8"/>
        <v>OK.</v>
      </c>
      <c r="Y90" s="122" t="str">
        <f t="shared" si="8"/>
        <v>OK.</v>
      </c>
      <c r="Z90" s="122" t="str">
        <f t="shared" si="8"/>
        <v>OK.</v>
      </c>
      <c r="AA90" s="122" t="str">
        <f t="shared" si="8"/>
        <v>OK.</v>
      </c>
      <c r="AB90" s="122" t="str">
        <f t="shared" si="8"/>
        <v>OK.</v>
      </c>
      <c r="AC90" s="122" t="str">
        <f t="shared" si="8"/>
        <v>OK.</v>
      </c>
      <c r="AD90" s="122" t="str">
        <f t="shared" si="8"/>
        <v>OK.</v>
      </c>
      <c r="AE90" s="122" t="str">
        <f t="shared" si="8"/>
        <v>OK.</v>
      </c>
      <c r="AF90" s="122" t="str">
        <f t="shared" si="8"/>
        <v>OK.</v>
      </c>
      <c r="AG90" s="122" t="str">
        <f t="shared" si="8"/>
        <v>OK.</v>
      </c>
    </row>
    <row r="91" spans="2:33" ht="24" outlineLevel="1">
      <c r="B91" s="124" t="s">
        <v>142</v>
      </c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</row>
    <row r="92" spans="2:33" ht="14.25" outlineLevel="1">
      <c r="B92" s="126" t="s">
        <v>378</v>
      </c>
      <c r="C92" s="125" t="str">
        <f aca="true" t="shared" si="9" ref="C92:AG92">+IF(C31&lt;C32,"Brak pokrycia","OK.")</f>
        <v>OK.</v>
      </c>
      <c r="D92" s="125" t="str">
        <f t="shared" si="9"/>
        <v>OK.</v>
      </c>
      <c r="E92" s="125" t="str">
        <f t="shared" si="9"/>
        <v>OK.</v>
      </c>
      <c r="F92" s="125" t="str">
        <f t="shared" si="9"/>
        <v>OK.</v>
      </c>
      <c r="G92" s="125" t="str">
        <f t="shared" si="9"/>
        <v>OK.</v>
      </c>
      <c r="H92" s="125" t="str">
        <f t="shared" si="9"/>
        <v>OK.</v>
      </c>
      <c r="I92" s="125" t="str">
        <f t="shared" si="9"/>
        <v>OK.</v>
      </c>
      <c r="J92" s="125" t="str">
        <f t="shared" si="9"/>
        <v>OK.</v>
      </c>
      <c r="K92" s="125" t="str">
        <f t="shared" si="9"/>
        <v>OK.</v>
      </c>
      <c r="L92" s="125" t="str">
        <f t="shared" si="9"/>
        <v>OK.</v>
      </c>
      <c r="M92" s="125" t="str">
        <f t="shared" si="9"/>
        <v>OK.</v>
      </c>
      <c r="N92" s="125" t="str">
        <f t="shared" si="9"/>
        <v>OK.</v>
      </c>
      <c r="O92" s="125" t="str">
        <f t="shared" si="9"/>
        <v>OK.</v>
      </c>
      <c r="P92" s="125" t="str">
        <f t="shared" si="9"/>
        <v>OK.</v>
      </c>
      <c r="Q92" s="125" t="str">
        <f t="shared" si="9"/>
        <v>OK.</v>
      </c>
      <c r="R92" s="125" t="str">
        <f t="shared" si="9"/>
        <v>OK.</v>
      </c>
      <c r="S92" s="125" t="str">
        <f t="shared" si="9"/>
        <v>OK.</v>
      </c>
      <c r="T92" s="125" t="str">
        <f t="shared" si="9"/>
        <v>OK.</v>
      </c>
      <c r="U92" s="125" t="str">
        <f t="shared" si="9"/>
        <v>OK.</v>
      </c>
      <c r="V92" s="125" t="str">
        <f t="shared" si="9"/>
        <v>OK.</v>
      </c>
      <c r="W92" s="125" t="str">
        <f t="shared" si="9"/>
        <v>OK.</v>
      </c>
      <c r="X92" s="125" t="str">
        <f t="shared" si="9"/>
        <v>OK.</v>
      </c>
      <c r="Y92" s="125" t="str">
        <f t="shared" si="9"/>
        <v>OK.</v>
      </c>
      <c r="Z92" s="125" t="str">
        <f t="shared" si="9"/>
        <v>OK.</v>
      </c>
      <c r="AA92" s="125" t="str">
        <f t="shared" si="9"/>
        <v>OK.</v>
      </c>
      <c r="AB92" s="125" t="str">
        <f t="shared" si="9"/>
        <v>OK.</v>
      </c>
      <c r="AC92" s="125" t="str">
        <f t="shared" si="9"/>
        <v>OK.</v>
      </c>
      <c r="AD92" s="125" t="str">
        <f t="shared" si="9"/>
        <v>OK.</v>
      </c>
      <c r="AE92" s="125" t="str">
        <f t="shared" si="9"/>
        <v>OK.</v>
      </c>
      <c r="AF92" s="125" t="str">
        <f t="shared" si="9"/>
        <v>OK.</v>
      </c>
      <c r="AG92" s="125" t="str">
        <f t="shared" si="9"/>
        <v>OK.</v>
      </c>
    </row>
    <row r="93" spans="2:33" ht="14.25" outlineLevel="1">
      <c r="B93" s="126" t="s">
        <v>377</v>
      </c>
      <c r="C93" s="125" t="str">
        <f>+IF(C33&lt;C34,"Brak pokrycia","OK.")</f>
        <v>OK.</v>
      </c>
      <c r="D93" s="125" t="str">
        <f aca="true" t="shared" si="10" ref="D93:AG93">+IF(D33&lt;D34,"Brak pokrycia","OK.")</f>
        <v>OK.</v>
      </c>
      <c r="E93" s="125" t="str">
        <f t="shared" si="10"/>
        <v>OK.</v>
      </c>
      <c r="F93" s="125" t="str">
        <f t="shared" si="10"/>
        <v>OK.</v>
      </c>
      <c r="G93" s="125" t="str">
        <f t="shared" si="10"/>
        <v>OK.</v>
      </c>
      <c r="H93" s="125" t="str">
        <f t="shared" si="10"/>
        <v>OK.</v>
      </c>
      <c r="I93" s="125" t="str">
        <f t="shared" si="10"/>
        <v>OK.</v>
      </c>
      <c r="J93" s="125" t="str">
        <f t="shared" si="10"/>
        <v>OK.</v>
      </c>
      <c r="K93" s="125" t="str">
        <f t="shared" si="10"/>
        <v>OK.</v>
      </c>
      <c r="L93" s="125" t="str">
        <f t="shared" si="10"/>
        <v>OK.</v>
      </c>
      <c r="M93" s="125" t="str">
        <f t="shared" si="10"/>
        <v>OK.</v>
      </c>
      <c r="N93" s="125" t="str">
        <f t="shared" si="10"/>
        <v>OK.</v>
      </c>
      <c r="O93" s="125" t="str">
        <f t="shared" si="10"/>
        <v>OK.</v>
      </c>
      <c r="P93" s="125" t="str">
        <f t="shared" si="10"/>
        <v>OK.</v>
      </c>
      <c r="Q93" s="125" t="str">
        <f t="shared" si="10"/>
        <v>OK.</v>
      </c>
      <c r="R93" s="125" t="str">
        <f t="shared" si="10"/>
        <v>OK.</v>
      </c>
      <c r="S93" s="125" t="str">
        <f t="shared" si="10"/>
        <v>OK.</v>
      </c>
      <c r="T93" s="125" t="str">
        <f t="shared" si="10"/>
        <v>OK.</v>
      </c>
      <c r="U93" s="125" t="str">
        <f t="shared" si="10"/>
        <v>OK.</v>
      </c>
      <c r="V93" s="125" t="str">
        <f t="shared" si="10"/>
        <v>OK.</v>
      </c>
      <c r="W93" s="125" t="str">
        <f t="shared" si="10"/>
        <v>OK.</v>
      </c>
      <c r="X93" s="125" t="str">
        <f t="shared" si="10"/>
        <v>OK.</v>
      </c>
      <c r="Y93" s="125" t="str">
        <f t="shared" si="10"/>
        <v>OK.</v>
      </c>
      <c r="Z93" s="125" t="str">
        <f t="shared" si="10"/>
        <v>OK.</v>
      </c>
      <c r="AA93" s="125" t="str">
        <f t="shared" si="10"/>
        <v>OK.</v>
      </c>
      <c r="AB93" s="125" t="str">
        <f t="shared" si="10"/>
        <v>OK.</v>
      </c>
      <c r="AC93" s="125" t="str">
        <f t="shared" si="10"/>
        <v>OK.</v>
      </c>
      <c r="AD93" s="125" t="str">
        <f t="shared" si="10"/>
        <v>OK.</v>
      </c>
      <c r="AE93" s="125" t="str">
        <f t="shared" si="10"/>
        <v>OK.</v>
      </c>
      <c r="AF93" s="125" t="str">
        <f t="shared" si="10"/>
        <v>OK.</v>
      </c>
      <c r="AG93" s="125" t="str">
        <f t="shared" si="10"/>
        <v>OK.</v>
      </c>
    </row>
    <row r="94" spans="2:33" ht="14.25" outlineLevel="1">
      <c r="B94" s="126" t="s">
        <v>144</v>
      </c>
      <c r="C94" s="125" t="str">
        <f aca="true" t="shared" si="11" ref="C94:AG94">+IF(C35&lt;C36,"Brak pokrycia","OK.")</f>
        <v>OK.</v>
      </c>
      <c r="D94" s="125" t="str">
        <f t="shared" si="11"/>
        <v>OK.</v>
      </c>
      <c r="E94" s="125" t="str">
        <f t="shared" si="11"/>
        <v>OK.</v>
      </c>
      <c r="F94" s="125" t="str">
        <f t="shared" si="11"/>
        <v>OK.</v>
      </c>
      <c r="G94" s="125" t="str">
        <f t="shared" si="11"/>
        <v>OK.</v>
      </c>
      <c r="H94" s="125" t="str">
        <f t="shared" si="11"/>
        <v>OK.</v>
      </c>
      <c r="I94" s="125" t="str">
        <f t="shared" si="11"/>
        <v>OK.</v>
      </c>
      <c r="J94" s="125" t="str">
        <f t="shared" si="11"/>
        <v>OK.</v>
      </c>
      <c r="K94" s="125" t="str">
        <f t="shared" si="11"/>
        <v>OK.</v>
      </c>
      <c r="L94" s="125" t="str">
        <f t="shared" si="11"/>
        <v>OK.</v>
      </c>
      <c r="M94" s="125" t="str">
        <f t="shared" si="11"/>
        <v>OK.</v>
      </c>
      <c r="N94" s="125" t="str">
        <f t="shared" si="11"/>
        <v>OK.</v>
      </c>
      <c r="O94" s="125" t="str">
        <f t="shared" si="11"/>
        <v>OK.</v>
      </c>
      <c r="P94" s="125" t="str">
        <f t="shared" si="11"/>
        <v>OK.</v>
      </c>
      <c r="Q94" s="125" t="str">
        <f t="shared" si="11"/>
        <v>OK.</v>
      </c>
      <c r="R94" s="125" t="str">
        <f t="shared" si="11"/>
        <v>OK.</v>
      </c>
      <c r="S94" s="125" t="str">
        <f t="shared" si="11"/>
        <v>OK.</v>
      </c>
      <c r="T94" s="125" t="str">
        <f t="shared" si="11"/>
        <v>OK.</v>
      </c>
      <c r="U94" s="125" t="str">
        <f t="shared" si="11"/>
        <v>OK.</v>
      </c>
      <c r="V94" s="125" t="str">
        <f t="shared" si="11"/>
        <v>OK.</v>
      </c>
      <c r="W94" s="125" t="str">
        <f t="shared" si="11"/>
        <v>OK.</v>
      </c>
      <c r="X94" s="125" t="str">
        <f t="shared" si="11"/>
        <v>OK.</v>
      </c>
      <c r="Y94" s="125" t="str">
        <f t="shared" si="11"/>
        <v>OK.</v>
      </c>
      <c r="Z94" s="125" t="str">
        <f t="shared" si="11"/>
        <v>OK.</v>
      </c>
      <c r="AA94" s="125" t="str">
        <f t="shared" si="11"/>
        <v>OK.</v>
      </c>
      <c r="AB94" s="125" t="str">
        <f t="shared" si="11"/>
        <v>OK.</v>
      </c>
      <c r="AC94" s="125" t="str">
        <f t="shared" si="11"/>
        <v>OK.</v>
      </c>
      <c r="AD94" s="125" t="str">
        <f t="shared" si="11"/>
        <v>OK.</v>
      </c>
      <c r="AE94" s="125" t="str">
        <f t="shared" si="11"/>
        <v>OK.</v>
      </c>
      <c r="AF94" s="125" t="str">
        <f t="shared" si="11"/>
        <v>OK.</v>
      </c>
      <c r="AG94" s="125" t="str">
        <f t="shared" si="11"/>
        <v>OK.</v>
      </c>
    </row>
    <row r="95" spans="2:33" ht="14.25" outlineLevel="1">
      <c r="B95" s="126" t="s">
        <v>143</v>
      </c>
      <c r="C95" s="125" t="str">
        <f aca="true" t="shared" si="12" ref="C95:AG95">+IF(C37&lt;C38,"Brak pokrycia","OK.")</f>
        <v>OK.</v>
      </c>
      <c r="D95" s="125" t="str">
        <f t="shared" si="12"/>
        <v>OK.</v>
      </c>
      <c r="E95" s="125" t="str">
        <f t="shared" si="12"/>
        <v>OK.</v>
      </c>
      <c r="F95" s="125" t="str">
        <f t="shared" si="12"/>
        <v>OK.</v>
      </c>
      <c r="G95" s="125" t="str">
        <f t="shared" si="12"/>
        <v>OK.</v>
      </c>
      <c r="H95" s="125" t="str">
        <f t="shared" si="12"/>
        <v>OK.</v>
      </c>
      <c r="I95" s="125" t="str">
        <f t="shared" si="12"/>
        <v>OK.</v>
      </c>
      <c r="J95" s="125" t="str">
        <f t="shared" si="12"/>
        <v>OK.</v>
      </c>
      <c r="K95" s="125" t="str">
        <f t="shared" si="12"/>
        <v>OK.</v>
      </c>
      <c r="L95" s="125" t="str">
        <f t="shared" si="12"/>
        <v>OK.</v>
      </c>
      <c r="M95" s="125" t="str">
        <f t="shared" si="12"/>
        <v>OK.</v>
      </c>
      <c r="N95" s="125" t="str">
        <f t="shared" si="12"/>
        <v>OK.</v>
      </c>
      <c r="O95" s="125" t="str">
        <f t="shared" si="12"/>
        <v>OK.</v>
      </c>
      <c r="P95" s="125" t="str">
        <f t="shared" si="12"/>
        <v>OK.</v>
      </c>
      <c r="Q95" s="125" t="str">
        <f t="shared" si="12"/>
        <v>OK.</v>
      </c>
      <c r="R95" s="125" t="str">
        <f t="shared" si="12"/>
        <v>OK.</v>
      </c>
      <c r="S95" s="125" t="str">
        <f t="shared" si="12"/>
        <v>OK.</v>
      </c>
      <c r="T95" s="125" t="str">
        <f t="shared" si="12"/>
        <v>OK.</v>
      </c>
      <c r="U95" s="125" t="str">
        <f t="shared" si="12"/>
        <v>OK.</v>
      </c>
      <c r="V95" s="125" t="str">
        <f t="shared" si="12"/>
        <v>OK.</v>
      </c>
      <c r="W95" s="125" t="str">
        <f t="shared" si="12"/>
        <v>OK.</v>
      </c>
      <c r="X95" s="125" t="str">
        <f t="shared" si="12"/>
        <v>OK.</v>
      </c>
      <c r="Y95" s="125" t="str">
        <f t="shared" si="12"/>
        <v>OK.</v>
      </c>
      <c r="Z95" s="125" t="str">
        <f t="shared" si="12"/>
        <v>OK.</v>
      </c>
      <c r="AA95" s="125" t="str">
        <f t="shared" si="12"/>
        <v>OK.</v>
      </c>
      <c r="AB95" s="125" t="str">
        <f t="shared" si="12"/>
        <v>OK.</v>
      </c>
      <c r="AC95" s="125" t="str">
        <f t="shared" si="12"/>
        <v>OK.</v>
      </c>
      <c r="AD95" s="125" t="str">
        <f t="shared" si="12"/>
        <v>OK.</v>
      </c>
      <c r="AE95" s="125" t="str">
        <f t="shared" si="12"/>
        <v>OK.</v>
      </c>
      <c r="AF95" s="125" t="str">
        <f t="shared" si="12"/>
        <v>OK.</v>
      </c>
      <c r="AG95" s="125" t="str">
        <f t="shared" si="12"/>
        <v>OK.</v>
      </c>
    </row>
    <row r="96" spans="2:33" ht="14.25" outlineLevel="1">
      <c r="B96" s="127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</row>
    <row r="97" spans="2:33" ht="22.5" outlineLevel="1">
      <c r="B97" s="129" t="s">
        <v>192</v>
      </c>
      <c r="C97" s="122" t="str">
        <f aca="true" t="shared" si="13" ref="C97:AG97">+IF(AND(C23=0,C22&gt;0),"Błąd","OK.")</f>
        <v>OK.</v>
      </c>
      <c r="D97" s="122" t="str">
        <f t="shared" si="13"/>
        <v>OK.</v>
      </c>
      <c r="E97" s="122" t="str">
        <f t="shared" si="13"/>
        <v>OK.</v>
      </c>
      <c r="F97" s="122" t="str">
        <f t="shared" si="13"/>
        <v>OK.</v>
      </c>
      <c r="G97" s="122" t="str">
        <f t="shared" si="13"/>
        <v>OK.</v>
      </c>
      <c r="H97" s="122" t="str">
        <f t="shared" si="13"/>
        <v>OK.</v>
      </c>
      <c r="I97" s="122" t="str">
        <f t="shared" si="13"/>
        <v>OK.</v>
      </c>
      <c r="J97" s="122" t="str">
        <f t="shared" si="13"/>
        <v>OK.</v>
      </c>
      <c r="K97" s="122" t="str">
        <f t="shared" si="13"/>
        <v>OK.</v>
      </c>
      <c r="L97" s="122" t="str">
        <f t="shared" si="13"/>
        <v>OK.</v>
      </c>
      <c r="M97" s="122" t="str">
        <f t="shared" si="13"/>
        <v>OK.</v>
      </c>
      <c r="N97" s="122" t="str">
        <f t="shared" si="13"/>
        <v>OK.</v>
      </c>
      <c r="O97" s="122" t="str">
        <f t="shared" si="13"/>
        <v>OK.</v>
      </c>
      <c r="P97" s="122" t="str">
        <f t="shared" si="13"/>
        <v>OK.</v>
      </c>
      <c r="Q97" s="122" t="str">
        <f t="shared" si="13"/>
        <v>OK.</v>
      </c>
      <c r="R97" s="122" t="str">
        <f t="shared" si="13"/>
        <v>OK.</v>
      </c>
      <c r="S97" s="122" t="str">
        <f t="shared" si="13"/>
        <v>OK.</v>
      </c>
      <c r="T97" s="122" t="str">
        <f t="shared" si="13"/>
        <v>OK.</v>
      </c>
      <c r="U97" s="122" t="str">
        <f t="shared" si="13"/>
        <v>OK.</v>
      </c>
      <c r="V97" s="122" t="str">
        <f t="shared" si="13"/>
        <v>OK.</v>
      </c>
      <c r="W97" s="122" t="str">
        <f t="shared" si="13"/>
        <v>OK.</v>
      </c>
      <c r="X97" s="122" t="str">
        <f t="shared" si="13"/>
        <v>OK.</v>
      </c>
      <c r="Y97" s="122" t="str">
        <f t="shared" si="13"/>
        <v>OK.</v>
      </c>
      <c r="Z97" s="122" t="str">
        <f t="shared" si="13"/>
        <v>OK.</v>
      </c>
      <c r="AA97" s="122" t="str">
        <f t="shared" si="13"/>
        <v>OK.</v>
      </c>
      <c r="AB97" s="122" t="str">
        <f t="shared" si="13"/>
        <v>OK.</v>
      </c>
      <c r="AC97" s="122" t="str">
        <f t="shared" si="13"/>
        <v>OK.</v>
      </c>
      <c r="AD97" s="122" t="str">
        <f t="shared" si="13"/>
        <v>OK.</v>
      </c>
      <c r="AE97" s="122" t="str">
        <f t="shared" si="13"/>
        <v>OK.</v>
      </c>
      <c r="AF97" s="122" t="str">
        <f t="shared" si="13"/>
        <v>OK.</v>
      </c>
      <c r="AG97" s="122" t="str">
        <f t="shared" si="13"/>
        <v>OK.</v>
      </c>
    </row>
    <row r="98" spans="2:33" ht="22.5" outlineLevel="1">
      <c r="B98" s="123" t="s">
        <v>146</v>
      </c>
      <c r="C98" s="128" t="s">
        <v>140</v>
      </c>
      <c r="D98" s="122" t="str">
        <f>+IF(ROUND(C43+D35-D40-D43+D99,4)=0,"OK.",ROUND(D43-(C43+D35-D40+D99),4))</f>
        <v>OK.</v>
      </c>
      <c r="E98" s="122" t="str">
        <f aca="true" t="shared" si="14" ref="E98:AG98">+IF(ROUND(D43+E35-E40-E43+E99,4)=0,"OK.",ROUND(E43-(D43+E35-E40+E99),4))</f>
        <v>OK.</v>
      </c>
      <c r="F98" s="122" t="str">
        <f t="shared" si="14"/>
        <v>OK.</v>
      </c>
      <c r="G98" s="122" t="str">
        <f t="shared" si="14"/>
        <v>OK.</v>
      </c>
      <c r="H98" s="122" t="str">
        <f t="shared" si="14"/>
        <v>OK.</v>
      </c>
      <c r="I98" s="122" t="str">
        <f t="shared" si="14"/>
        <v>OK.</v>
      </c>
      <c r="J98" s="122" t="str">
        <f t="shared" si="14"/>
        <v>OK.</v>
      </c>
      <c r="K98" s="122" t="str">
        <f t="shared" si="14"/>
        <v>OK.</v>
      </c>
      <c r="L98" s="122" t="str">
        <f t="shared" si="14"/>
        <v>OK.</v>
      </c>
      <c r="M98" s="122" t="str">
        <f t="shared" si="14"/>
        <v>OK.</v>
      </c>
      <c r="N98" s="122" t="str">
        <f t="shared" si="14"/>
        <v>OK.</v>
      </c>
      <c r="O98" s="122" t="str">
        <f t="shared" si="14"/>
        <v>OK.</v>
      </c>
      <c r="P98" s="122" t="str">
        <f t="shared" si="14"/>
        <v>OK.</v>
      </c>
      <c r="Q98" s="122" t="str">
        <f t="shared" si="14"/>
        <v>OK.</v>
      </c>
      <c r="R98" s="122" t="str">
        <f t="shared" si="14"/>
        <v>OK.</v>
      </c>
      <c r="S98" s="122" t="str">
        <f t="shared" si="14"/>
        <v>OK.</v>
      </c>
      <c r="T98" s="122" t="str">
        <f t="shared" si="14"/>
        <v>OK.</v>
      </c>
      <c r="U98" s="122" t="str">
        <f t="shared" si="14"/>
        <v>OK.</v>
      </c>
      <c r="V98" s="122" t="str">
        <f t="shared" si="14"/>
        <v>OK.</v>
      </c>
      <c r="W98" s="122" t="str">
        <f t="shared" si="14"/>
        <v>OK.</v>
      </c>
      <c r="X98" s="122" t="str">
        <f t="shared" si="14"/>
        <v>OK.</v>
      </c>
      <c r="Y98" s="122" t="str">
        <f t="shared" si="14"/>
        <v>OK.</v>
      </c>
      <c r="Z98" s="122" t="str">
        <f t="shared" si="14"/>
        <v>OK.</v>
      </c>
      <c r="AA98" s="122" t="str">
        <f t="shared" si="14"/>
        <v>OK.</v>
      </c>
      <c r="AB98" s="122" t="str">
        <f t="shared" si="14"/>
        <v>OK.</v>
      </c>
      <c r="AC98" s="122" t="str">
        <f t="shared" si="14"/>
        <v>OK.</v>
      </c>
      <c r="AD98" s="122" t="str">
        <f t="shared" si="14"/>
        <v>OK.</v>
      </c>
      <c r="AE98" s="122" t="str">
        <f t="shared" si="14"/>
        <v>OK.</v>
      </c>
      <c r="AF98" s="122" t="str">
        <f t="shared" si="14"/>
        <v>OK.</v>
      </c>
      <c r="AG98" s="122" t="str">
        <f t="shared" si="14"/>
        <v>OK.</v>
      </c>
    </row>
    <row r="99" spans="2:33" ht="14.25" outlineLevel="1">
      <c r="B99" s="264" t="s">
        <v>376</v>
      </c>
      <c r="C99" s="128" t="s">
        <v>140</v>
      </c>
      <c r="D99" s="122">
        <f>+D44-C44</f>
        <v>0</v>
      </c>
      <c r="E99" s="122">
        <f aca="true" t="shared" si="15" ref="E99:AG99">+D44-E44</f>
        <v>0</v>
      </c>
      <c r="F99" s="122">
        <f t="shared" si="15"/>
        <v>0</v>
      </c>
      <c r="G99" s="122">
        <f t="shared" si="15"/>
        <v>0</v>
      </c>
      <c r="H99" s="122">
        <f t="shared" si="15"/>
        <v>0</v>
      </c>
      <c r="I99" s="122">
        <f t="shared" si="15"/>
        <v>0</v>
      </c>
      <c r="J99" s="122">
        <f t="shared" si="15"/>
        <v>0</v>
      </c>
      <c r="K99" s="122">
        <f t="shared" si="15"/>
        <v>0</v>
      </c>
      <c r="L99" s="122">
        <f t="shared" si="15"/>
        <v>0</v>
      </c>
      <c r="M99" s="122">
        <f t="shared" si="15"/>
        <v>0</v>
      </c>
      <c r="N99" s="122">
        <f t="shared" si="15"/>
        <v>0</v>
      </c>
      <c r="O99" s="122">
        <f t="shared" si="15"/>
        <v>0</v>
      </c>
      <c r="P99" s="122">
        <f t="shared" si="15"/>
        <v>0</v>
      </c>
      <c r="Q99" s="122">
        <f t="shared" si="15"/>
        <v>0</v>
      </c>
      <c r="R99" s="122">
        <f t="shared" si="15"/>
        <v>0</v>
      </c>
      <c r="S99" s="122">
        <f t="shared" si="15"/>
        <v>0</v>
      </c>
      <c r="T99" s="122">
        <f t="shared" si="15"/>
        <v>0</v>
      </c>
      <c r="U99" s="122">
        <f t="shared" si="15"/>
        <v>0</v>
      </c>
      <c r="V99" s="122">
        <f t="shared" si="15"/>
        <v>0</v>
      </c>
      <c r="W99" s="122">
        <f t="shared" si="15"/>
        <v>0</v>
      </c>
      <c r="X99" s="122">
        <f t="shared" si="15"/>
        <v>0</v>
      </c>
      <c r="Y99" s="122">
        <f t="shared" si="15"/>
        <v>0</v>
      </c>
      <c r="Z99" s="122">
        <f t="shared" si="15"/>
        <v>0</v>
      </c>
      <c r="AA99" s="122">
        <f t="shared" si="15"/>
        <v>0</v>
      </c>
      <c r="AB99" s="122">
        <f t="shared" si="15"/>
        <v>0</v>
      </c>
      <c r="AC99" s="122">
        <f t="shared" si="15"/>
        <v>0</v>
      </c>
      <c r="AD99" s="122">
        <f t="shared" si="15"/>
        <v>0</v>
      </c>
      <c r="AE99" s="122">
        <f t="shared" si="15"/>
        <v>0</v>
      </c>
      <c r="AF99" s="122">
        <f t="shared" si="15"/>
        <v>0</v>
      </c>
      <c r="AG99" s="122">
        <f t="shared" si="15"/>
        <v>0</v>
      </c>
    </row>
    <row r="100" spans="2:33" ht="22.5" outlineLevel="1">
      <c r="B100" s="129" t="s">
        <v>153</v>
      </c>
      <c r="C100" s="125" t="str">
        <f aca="true" t="shared" si="16" ref="C100:AG100">+IF(C43&lt;C45,"Za wysoka","OK.")</f>
        <v>OK.</v>
      </c>
      <c r="D100" s="125" t="str">
        <f t="shared" si="16"/>
        <v>OK.</v>
      </c>
      <c r="E100" s="125" t="str">
        <f t="shared" si="16"/>
        <v>OK.</v>
      </c>
      <c r="F100" s="125" t="str">
        <f t="shared" si="16"/>
        <v>OK.</v>
      </c>
      <c r="G100" s="125" t="str">
        <f t="shared" si="16"/>
        <v>OK.</v>
      </c>
      <c r="H100" s="125" t="str">
        <f t="shared" si="16"/>
        <v>OK.</v>
      </c>
      <c r="I100" s="125" t="str">
        <f t="shared" si="16"/>
        <v>OK.</v>
      </c>
      <c r="J100" s="125" t="str">
        <f t="shared" si="16"/>
        <v>OK.</v>
      </c>
      <c r="K100" s="125" t="str">
        <f t="shared" si="16"/>
        <v>OK.</v>
      </c>
      <c r="L100" s="125" t="str">
        <f t="shared" si="16"/>
        <v>OK.</v>
      </c>
      <c r="M100" s="125" t="str">
        <f t="shared" si="16"/>
        <v>OK.</v>
      </c>
      <c r="N100" s="125" t="str">
        <f t="shared" si="16"/>
        <v>OK.</v>
      </c>
      <c r="O100" s="125" t="str">
        <f t="shared" si="16"/>
        <v>OK.</v>
      </c>
      <c r="P100" s="125" t="str">
        <f t="shared" si="16"/>
        <v>OK.</v>
      </c>
      <c r="Q100" s="125" t="str">
        <f t="shared" si="16"/>
        <v>OK.</v>
      </c>
      <c r="R100" s="125" t="str">
        <f t="shared" si="16"/>
        <v>OK.</v>
      </c>
      <c r="S100" s="125" t="str">
        <f t="shared" si="16"/>
        <v>OK.</v>
      </c>
      <c r="T100" s="125" t="str">
        <f t="shared" si="16"/>
        <v>OK.</v>
      </c>
      <c r="U100" s="125" t="str">
        <f t="shared" si="16"/>
        <v>OK.</v>
      </c>
      <c r="V100" s="125" t="str">
        <f t="shared" si="16"/>
        <v>OK.</v>
      </c>
      <c r="W100" s="125" t="str">
        <f t="shared" si="16"/>
        <v>OK.</v>
      </c>
      <c r="X100" s="125" t="str">
        <f t="shared" si="16"/>
        <v>OK.</v>
      </c>
      <c r="Y100" s="125" t="str">
        <f t="shared" si="16"/>
        <v>OK.</v>
      </c>
      <c r="Z100" s="125" t="str">
        <f t="shared" si="16"/>
        <v>OK.</v>
      </c>
      <c r="AA100" s="125" t="str">
        <f t="shared" si="16"/>
        <v>OK.</v>
      </c>
      <c r="AB100" s="125" t="str">
        <f t="shared" si="16"/>
        <v>OK.</v>
      </c>
      <c r="AC100" s="125" t="str">
        <f t="shared" si="16"/>
        <v>OK.</v>
      </c>
      <c r="AD100" s="125" t="str">
        <f t="shared" si="16"/>
        <v>OK.</v>
      </c>
      <c r="AE100" s="125" t="str">
        <f t="shared" si="16"/>
        <v>OK.</v>
      </c>
      <c r="AF100" s="125" t="str">
        <f t="shared" si="16"/>
        <v>OK.</v>
      </c>
      <c r="AG100" s="125" t="str">
        <f t="shared" si="16"/>
        <v>OK.</v>
      </c>
    </row>
    <row r="101" spans="2:33" ht="22.5" outlineLevel="1">
      <c r="B101" s="129" t="s">
        <v>148</v>
      </c>
      <c r="C101" s="122" t="str">
        <f aca="true" t="shared" si="17" ref="C101:AG101">+IF(C40&lt;C41,"Za wysoka","OK.")</f>
        <v>OK.</v>
      </c>
      <c r="D101" s="122" t="str">
        <f t="shared" si="17"/>
        <v>OK.</v>
      </c>
      <c r="E101" s="122" t="str">
        <f t="shared" si="17"/>
        <v>OK.</v>
      </c>
      <c r="F101" s="122" t="str">
        <f t="shared" si="17"/>
        <v>OK.</v>
      </c>
      <c r="G101" s="122" t="str">
        <f t="shared" si="17"/>
        <v>OK.</v>
      </c>
      <c r="H101" s="122" t="str">
        <f t="shared" si="17"/>
        <v>OK.</v>
      </c>
      <c r="I101" s="122" t="str">
        <f t="shared" si="17"/>
        <v>OK.</v>
      </c>
      <c r="J101" s="122" t="str">
        <f t="shared" si="17"/>
        <v>OK.</v>
      </c>
      <c r="K101" s="122" t="str">
        <f t="shared" si="17"/>
        <v>OK.</v>
      </c>
      <c r="L101" s="122" t="str">
        <f t="shared" si="17"/>
        <v>OK.</v>
      </c>
      <c r="M101" s="122" t="str">
        <f t="shared" si="17"/>
        <v>OK.</v>
      </c>
      <c r="N101" s="122" t="str">
        <f t="shared" si="17"/>
        <v>OK.</v>
      </c>
      <c r="O101" s="122" t="str">
        <f t="shared" si="17"/>
        <v>OK.</v>
      </c>
      <c r="P101" s="122" t="str">
        <f t="shared" si="17"/>
        <v>OK.</v>
      </c>
      <c r="Q101" s="122" t="str">
        <f t="shared" si="17"/>
        <v>OK.</v>
      </c>
      <c r="R101" s="122" t="str">
        <f t="shared" si="17"/>
        <v>OK.</v>
      </c>
      <c r="S101" s="122" t="str">
        <f t="shared" si="17"/>
        <v>OK.</v>
      </c>
      <c r="T101" s="122" t="str">
        <f t="shared" si="17"/>
        <v>OK.</v>
      </c>
      <c r="U101" s="122" t="str">
        <f t="shared" si="17"/>
        <v>OK.</v>
      </c>
      <c r="V101" s="122" t="str">
        <f t="shared" si="17"/>
        <v>OK.</v>
      </c>
      <c r="W101" s="122" t="str">
        <f t="shared" si="17"/>
        <v>OK.</v>
      </c>
      <c r="X101" s="122" t="str">
        <f t="shared" si="17"/>
        <v>OK.</v>
      </c>
      <c r="Y101" s="122" t="str">
        <f t="shared" si="17"/>
        <v>OK.</v>
      </c>
      <c r="Z101" s="122" t="str">
        <f t="shared" si="17"/>
        <v>OK.</v>
      </c>
      <c r="AA101" s="122" t="str">
        <f t="shared" si="17"/>
        <v>OK.</v>
      </c>
      <c r="AB101" s="122" t="str">
        <f t="shared" si="17"/>
        <v>OK.</v>
      </c>
      <c r="AC101" s="122" t="str">
        <f t="shared" si="17"/>
        <v>OK.</v>
      </c>
      <c r="AD101" s="122" t="str">
        <f t="shared" si="17"/>
        <v>OK.</v>
      </c>
      <c r="AE101" s="122" t="str">
        <f t="shared" si="17"/>
        <v>OK.</v>
      </c>
      <c r="AF101" s="122" t="str">
        <f t="shared" si="17"/>
        <v>OK.</v>
      </c>
      <c r="AG101" s="122" t="str">
        <f t="shared" si="17"/>
        <v>OK.</v>
      </c>
    </row>
    <row r="102" spans="2:33" ht="22.5" outlineLevel="1">
      <c r="B102" s="129" t="s">
        <v>147</v>
      </c>
      <c r="C102" s="125" t="str">
        <f aca="true" t="shared" si="18" ref="C102:AG102">+IF(C17&lt;C18,"Za wysoka","OK.")</f>
        <v>OK.</v>
      </c>
      <c r="D102" s="125" t="str">
        <f t="shared" si="18"/>
        <v>OK.</v>
      </c>
      <c r="E102" s="125" t="str">
        <f t="shared" si="18"/>
        <v>OK.</v>
      </c>
      <c r="F102" s="125" t="str">
        <f t="shared" si="18"/>
        <v>OK.</v>
      </c>
      <c r="G102" s="125" t="str">
        <f t="shared" si="18"/>
        <v>OK.</v>
      </c>
      <c r="H102" s="125" t="str">
        <f t="shared" si="18"/>
        <v>OK.</v>
      </c>
      <c r="I102" s="125" t="str">
        <f t="shared" si="18"/>
        <v>OK.</v>
      </c>
      <c r="J102" s="125" t="str">
        <f t="shared" si="18"/>
        <v>OK.</v>
      </c>
      <c r="K102" s="125" t="str">
        <f t="shared" si="18"/>
        <v>OK.</v>
      </c>
      <c r="L102" s="125" t="str">
        <f t="shared" si="18"/>
        <v>OK.</v>
      </c>
      <c r="M102" s="125" t="str">
        <f t="shared" si="18"/>
        <v>OK.</v>
      </c>
      <c r="N102" s="125" t="str">
        <f t="shared" si="18"/>
        <v>OK.</v>
      </c>
      <c r="O102" s="125" t="str">
        <f t="shared" si="18"/>
        <v>OK.</v>
      </c>
      <c r="P102" s="125" t="str">
        <f t="shared" si="18"/>
        <v>OK.</v>
      </c>
      <c r="Q102" s="125" t="str">
        <f t="shared" si="18"/>
        <v>OK.</v>
      </c>
      <c r="R102" s="125" t="str">
        <f t="shared" si="18"/>
        <v>OK.</v>
      </c>
      <c r="S102" s="125" t="str">
        <f t="shared" si="18"/>
        <v>OK.</v>
      </c>
      <c r="T102" s="125" t="str">
        <f t="shared" si="18"/>
        <v>OK.</v>
      </c>
      <c r="U102" s="125" t="str">
        <f t="shared" si="18"/>
        <v>OK.</v>
      </c>
      <c r="V102" s="125" t="str">
        <f t="shared" si="18"/>
        <v>OK.</v>
      </c>
      <c r="W102" s="125" t="str">
        <f t="shared" si="18"/>
        <v>OK.</v>
      </c>
      <c r="X102" s="125" t="str">
        <f t="shared" si="18"/>
        <v>OK.</v>
      </c>
      <c r="Y102" s="125" t="str">
        <f t="shared" si="18"/>
        <v>OK.</v>
      </c>
      <c r="Z102" s="125" t="str">
        <f t="shared" si="18"/>
        <v>OK.</v>
      </c>
      <c r="AA102" s="125" t="str">
        <f t="shared" si="18"/>
        <v>OK.</v>
      </c>
      <c r="AB102" s="125" t="str">
        <f t="shared" si="18"/>
        <v>OK.</v>
      </c>
      <c r="AC102" s="125" t="str">
        <f t="shared" si="18"/>
        <v>OK.</v>
      </c>
      <c r="AD102" s="125" t="str">
        <f t="shared" si="18"/>
        <v>OK.</v>
      </c>
      <c r="AE102" s="125" t="str">
        <f t="shared" si="18"/>
        <v>OK.</v>
      </c>
      <c r="AF102" s="125" t="str">
        <f t="shared" si="18"/>
        <v>OK.</v>
      </c>
      <c r="AG102" s="125" t="str">
        <f t="shared" si="18"/>
        <v>OK.</v>
      </c>
    </row>
    <row r="103" spans="2:33" ht="22.5" outlineLevel="1">
      <c r="B103" s="129" t="s">
        <v>152</v>
      </c>
      <c r="C103" s="125" t="str">
        <f aca="true" t="shared" si="19" ref="C103:AG103">+IF(C43&lt;C44,"Za wysoka","OK.")</f>
        <v>OK.</v>
      </c>
      <c r="D103" s="125" t="str">
        <f t="shared" si="19"/>
        <v>OK.</v>
      </c>
      <c r="E103" s="125" t="str">
        <f t="shared" si="19"/>
        <v>OK.</v>
      </c>
      <c r="F103" s="125" t="str">
        <f t="shared" si="19"/>
        <v>OK.</v>
      </c>
      <c r="G103" s="125" t="str">
        <f t="shared" si="19"/>
        <v>OK.</v>
      </c>
      <c r="H103" s="125" t="str">
        <f t="shared" si="19"/>
        <v>OK.</v>
      </c>
      <c r="I103" s="125" t="str">
        <f t="shared" si="19"/>
        <v>OK.</v>
      </c>
      <c r="J103" s="125" t="str">
        <f t="shared" si="19"/>
        <v>OK.</v>
      </c>
      <c r="K103" s="125" t="str">
        <f t="shared" si="19"/>
        <v>OK.</v>
      </c>
      <c r="L103" s="125" t="str">
        <f t="shared" si="19"/>
        <v>OK.</v>
      </c>
      <c r="M103" s="125" t="str">
        <f t="shared" si="19"/>
        <v>OK.</v>
      </c>
      <c r="N103" s="125" t="str">
        <f t="shared" si="19"/>
        <v>OK.</v>
      </c>
      <c r="O103" s="125" t="str">
        <f t="shared" si="19"/>
        <v>OK.</v>
      </c>
      <c r="P103" s="125" t="str">
        <f t="shared" si="19"/>
        <v>OK.</v>
      </c>
      <c r="Q103" s="125" t="str">
        <f t="shared" si="19"/>
        <v>OK.</v>
      </c>
      <c r="R103" s="125" t="str">
        <f t="shared" si="19"/>
        <v>OK.</v>
      </c>
      <c r="S103" s="125" t="str">
        <f t="shared" si="19"/>
        <v>OK.</v>
      </c>
      <c r="T103" s="125" t="str">
        <f t="shared" si="19"/>
        <v>OK.</v>
      </c>
      <c r="U103" s="125" t="str">
        <f t="shared" si="19"/>
        <v>OK.</v>
      </c>
      <c r="V103" s="125" t="str">
        <f t="shared" si="19"/>
        <v>OK.</v>
      </c>
      <c r="W103" s="125" t="str">
        <f t="shared" si="19"/>
        <v>OK.</v>
      </c>
      <c r="X103" s="125" t="str">
        <f t="shared" si="19"/>
        <v>OK.</v>
      </c>
      <c r="Y103" s="125" t="str">
        <f t="shared" si="19"/>
        <v>OK.</v>
      </c>
      <c r="Z103" s="125" t="str">
        <f t="shared" si="19"/>
        <v>OK.</v>
      </c>
      <c r="AA103" s="125" t="str">
        <f t="shared" si="19"/>
        <v>OK.</v>
      </c>
      <c r="AB103" s="125" t="str">
        <f t="shared" si="19"/>
        <v>OK.</v>
      </c>
      <c r="AC103" s="125" t="str">
        <f t="shared" si="19"/>
        <v>OK.</v>
      </c>
      <c r="AD103" s="125" t="str">
        <f t="shared" si="19"/>
        <v>OK.</v>
      </c>
      <c r="AE103" s="125" t="str">
        <f t="shared" si="19"/>
        <v>OK.</v>
      </c>
      <c r="AF103" s="125" t="str">
        <f t="shared" si="19"/>
        <v>OK.</v>
      </c>
      <c r="AG103" s="125" t="str">
        <f t="shared" si="19"/>
        <v>OK.</v>
      </c>
    </row>
    <row r="104" spans="2:33" ht="22.5" outlineLevel="1">
      <c r="B104" s="129" t="s">
        <v>156</v>
      </c>
      <c r="C104" s="125" t="str">
        <f aca="true" t="shared" si="20" ref="C104:AG104">+IF(C43&lt;C66,"Za wysoka","OK.")</f>
        <v>OK.</v>
      </c>
      <c r="D104" s="125" t="str">
        <f t="shared" si="20"/>
        <v>OK.</v>
      </c>
      <c r="E104" s="125" t="str">
        <f t="shared" si="20"/>
        <v>OK.</v>
      </c>
      <c r="F104" s="125" t="str">
        <f t="shared" si="20"/>
        <v>OK.</v>
      </c>
      <c r="G104" s="125" t="str">
        <f t="shared" si="20"/>
        <v>OK.</v>
      </c>
      <c r="H104" s="125" t="str">
        <f t="shared" si="20"/>
        <v>OK.</v>
      </c>
      <c r="I104" s="125" t="str">
        <f t="shared" si="20"/>
        <v>OK.</v>
      </c>
      <c r="J104" s="125" t="str">
        <f t="shared" si="20"/>
        <v>OK.</v>
      </c>
      <c r="K104" s="125" t="str">
        <f t="shared" si="20"/>
        <v>OK.</v>
      </c>
      <c r="L104" s="125" t="str">
        <f t="shared" si="20"/>
        <v>OK.</v>
      </c>
      <c r="M104" s="125" t="str">
        <f t="shared" si="20"/>
        <v>OK.</v>
      </c>
      <c r="N104" s="125" t="str">
        <f t="shared" si="20"/>
        <v>OK.</v>
      </c>
      <c r="O104" s="125" t="str">
        <f t="shared" si="20"/>
        <v>OK.</v>
      </c>
      <c r="P104" s="125" t="str">
        <f t="shared" si="20"/>
        <v>OK.</v>
      </c>
      <c r="Q104" s="125" t="str">
        <f t="shared" si="20"/>
        <v>OK.</v>
      </c>
      <c r="R104" s="125" t="str">
        <f t="shared" si="20"/>
        <v>OK.</v>
      </c>
      <c r="S104" s="125" t="str">
        <f t="shared" si="20"/>
        <v>OK.</v>
      </c>
      <c r="T104" s="125" t="str">
        <f t="shared" si="20"/>
        <v>OK.</v>
      </c>
      <c r="U104" s="125" t="str">
        <f t="shared" si="20"/>
        <v>OK.</v>
      </c>
      <c r="V104" s="125" t="str">
        <f t="shared" si="20"/>
        <v>OK.</v>
      </c>
      <c r="W104" s="125" t="str">
        <f t="shared" si="20"/>
        <v>OK.</v>
      </c>
      <c r="X104" s="125" t="str">
        <f t="shared" si="20"/>
        <v>OK.</v>
      </c>
      <c r="Y104" s="125" t="str">
        <f t="shared" si="20"/>
        <v>OK.</v>
      </c>
      <c r="Z104" s="125" t="str">
        <f t="shared" si="20"/>
        <v>OK.</v>
      </c>
      <c r="AA104" s="125" t="str">
        <f t="shared" si="20"/>
        <v>OK.</v>
      </c>
      <c r="AB104" s="125" t="str">
        <f t="shared" si="20"/>
        <v>OK.</v>
      </c>
      <c r="AC104" s="125" t="str">
        <f t="shared" si="20"/>
        <v>OK.</v>
      </c>
      <c r="AD104" s="125" t="str">
        <f t="shared" si="20"/>
        <v>OK.</v>
      </c>
      <c r="AE104" s="125" t="str">
        <f t="shared" si="20"/>
        <v>OK.</v>
      </c>
      <c r="AF104" s="125" t="str">
        <f t="shared" si="20"/>
        <v>OK.</v>
      </c>
      <c r="AG104" s="125" t="str">
        <f t="shared" si="20"/>
        <v>OK.</v>
      </c>
    </row>
    <row r="105" spans="2:33" ht="22.5" outlineLevel="1">
      <c r="B105" s="129" t="s">
        <v>157</v>
      </c>
      <c r="C105" s="125" t="str">
        <f>+IF(C66&lt;C67,"Za wysoka","OK.")</f>
        <v>OK.</v>
      </c>
      <c r="D105" s="125" t="str">
        <f aca="true" t="shared" si="21" ref="D105:AG105">+IF(D66&lt;D67,"Za wysoka","OK.")</f>
        <v>OK.</v>
      </c>
      <c r="E105" s="125" t="str">
        <f t="shared" si="21"/>
        <v>OK.</v>
      </c>
      <c r="F105" s="125" t="str">
        <f t="shared" si="21"/>
        <v>OK.</v>
      </c>
      <c r="G105" s="125" t="str">
        <f t="shared" si="21"/>
        <v>OK.</v>
      </c>
      <c r="H105" s="125" t="str">
        <f t="shared" si="21"/>
        <v>OK.</v>
      </c>
      <c r="I105" s="125" t="str">
        <f t="shared" si="21"/>
        <v>OK.</v>
      </c>
      <c r="J105" s="125" t="str">
        <f t="shared" si="21"/>
        <v>OK.</v>
      </c>
      <c r="K105" s="125" t="str">
        <f t="shared" si="21"/>
        <v>OK.</v>
      </c>
      <c r="L105" s="125" t="str">
        <f t="shared" si="21"/>
        <v>OK.</v>
      </c>
      <c r="M105" s="125" t="str">
        <f t="shared" si="21"/>
        <v>OK.</v>
      </c>
      <c r="N105" s="125" t="str">
        <f t="shared" si="21"/>
        <v>OK.</v>
      </c>
      <c r="O105" s="125" t="str">
        <f t="shared" si="21"/>
        <v>OK.</v>
      </c>
      <c r="P105" s="125" t="str">
        <f t="shared" si="21"/>
        <v>OK.</v>
      </c>
      <c r="Q105" s="125" t="str">
        <f t="shared" si="21"/>
        <v>OK.</v>
      </c>
      <c r="R105" s="125" t="str">
        <f t="shared" si="21"/>
        <v>OK.</v>
      </c>
      <c r="S105" s="125" t="str">
        <f t="shared" si="21"/>
        <v>OK.</v>
      </c>
      <c r="T105" s="125" t="str">
        <f t="shared" si="21"/>
        <v>OK.</v>
      </c>
      <c r="U105" s="125" t="str">
        <f t="shared" si="21"/>
        <v>OK.</v>
      </c>
      <c r="V105" s="125" t="str">
        <f t="shared" si="21"/>
        <v>OK.</v>
      </c>
      <c r="W105" s="125" t="str">
        <f t="shared" si="21"/>
        <v>OK.</v>
      </c>
      <c r="X105" s="125" t="str">
        <f t="shared" si="21"/>
        <v>OK.</v>
      </c>
      <c r="Y105" s="125" t="str">
        <f t="shared" si="21"/>
        <v>OK.</v>
      </c>
      <c r="Z105" s="125" t="str">
        <f t="shared" si="21"/>
        <v>OK.</v>
      </c>
      <c r="AA105" s="125" t="str">
        <f t="shared" si="21"/>
        <v>OK.</v>
      </c>
      <c r="AB105" s="125" t="str">
        <f t="shared" si="21"/>
        <v>OK.</v>
      </c>
      <c r="AC105" s="125" t="str">
        <f t="shared" si="21"/>
        <v>OK.</v>
      </c>
      <c r="AD105" s="125" t="str">
        <f t="shared" si="21"/>
        <v>OK.</v>
      </c>
      <c r="AE105" s="125" t="str">
        <f t="shared" si="21"/>
        <v>OK.</v>
      </c>
      <c r="AF105" s="125" t="str">
        <f t="shared" si="21"/>
        <v>OK.</v>
      </c>
      <c r="AG105" s="125" t="str">
        <f t="shared" si="21"/>
        <v>OK.</v>
      </c>
    </row>
    <row r="106" spans="2:33" ht="14.25" outlineLevel="1"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</row>
    <row r="107" spans="2:33" ht="22.5" outlineLevel="1">
      <c r="B107" s="129" t="s">
        <v>149</v>
      </c>
      <c r="C107" s="125" t="str">
        <f aca="true" t="shared" si="22" ref="C107:AG107">+IF(ROUND((C16-(C20+C17+C22)),4)&gt;=0,"OK.","Błąd")</f>
        <v>OK.</v>
      </c>
      <c r="D107" s="125" t="str">
        <f t="shared" si="22"/>
        <v>OK.</v>
      </c>
      <c r="E107" s="125" t="str">
        <f t="shared" si="22"/>
        <v>OK.</v>
      </c>
      <c r="F107" s="125" t="str">
        <f t="shared" si="22"/>
        <v>OK.</v>
      </c>
      <c r="G107" s="125" t="str">
        <f t="shared" si="22"/>
        <v>OK.</v>
      </c>
      <c r="H107" s="125" t="str">
        <f t="shared" si="22"/>
        <v>OK.</v>
      </c>
      <c r="I107" s="125" t="str">
        <f t="shared" si="22"/>
        <v>OK.</v>
      </c>
      <c r="J107" s="125" t="str">
        <f t="shared" si="22"/>
        <v>OK.</v>
      </c>
      <c r="K107" s="125" t="str">
        <f t="shared" si="22"/>
        <v>OK.</v>
      </c>
      <c r="L107" s="125" t="str">
        <f t="shared" si="22"/>
        <v>OK.</v>
      </c>
      <c r="M107" s="125" t="str">
        <f t="shared" si="22"/>
        <v>OK.</v>
      </c>
      <c r="N107" s="125" t="str">
        <f t="shared" si="22"/>
        <v>OK.</v>
      </c>
      <c r="O107" s="125" t="str">
        <f t="shared" si="22"/>
        <v>OK.</v>
      </c>
      <c r="P107" s="125" t="str">
        <f t="shared" si="22"/>
        <v>OK.</v>
      </c>
      <c r="Q107" s="125" t="str">
        <f t="shared" si="22"/>
        <v>OK.</v>
      </c>
      <c r="R107" s="125" t="str">
        <f t="shared" si="22"/>
        <v>OK.</v>
      </c>
      <c r="S107" s="125" t="str">
        <f t="shared" si="22"/>
        <v>OK.</v>
      </c>
      <c r="T107" s="125" t="str">
        <f t="shared" si="22"/>
        <v>OK.</v>
      </c>
      <c r="U107" s="125" t="str">
        <f t="shared" si="22"/>
        <v>OK.</v>
      </c>
      <c r="V107" s="125" t="str">
        <f t="shared" si="22"/>
        <v>OK.</v>
      </c>
      <c r="W107" s="125" t="str">
        <f t="shared" si="22"/>
        <v>OK.</v>
      </c>
      <c r="X107" s="125" t="str">
        <f t="shared" si="22"/>
        <v>OK.</v>
      </c>
      <c r="Y107" s="125" t="str">
        <f t="shared" si="22"/>
        <v>OK.</v>
      </c>
      <c r="Z107" s="125" t="str">
        <f t="shared" si="22"/>
        <v>OK.</v>
      </c>
      <c r="AA107" s="125" t="str">
        <f t="shared" si="22"/>
        <v>OK.</v>
      </c>
      <c r="AB107" s="125" t="str">
        <f t="shared" si="22"/>
        <v>OK.</v>
      </c>
      <c r="AC107" s="125" t="str">
        <f t="shared" si="22"/>
        <v>OK.</v>
      </c>
      <c r="AD107" s="125" t="str">
        <f t="shared" si="22"/>
        <v>OK.</v>
      </c>
      <c r="AE107" s="125" t="str">
        <f t="shared" si="22"/>
        <v>OK.</v>
      </c>
      <c r="AF107" s="125" t="str">
        <f t="shared" si="22"/>
        <v>OK.</v>
      </c>
      <c r="AG107" s="125" t="str">
        <f t="shared" si="22"/>
        <v>OK.</v>
      </c>
    </row>
    <row r="108" spans="2:33" ht="22.5" outlineLevel="1">
      <c r="B108" s="129" t="s">
        <v>150</v>
      </c>
      <c r="C108" s="125" t="str">
        <f aca="true" t="shared" si="23" ref="C108:AG108">+IF(C22&lt;C23,"Za wysokie","OK.")</f>
        <v>OK.</v>
      </c>
      <c r="D108" s="125" t="str">
        <f t="shared" si="23"/>
        <v>OK.</v>
      </c>
      <c r="E108" s="125" t="str">
        <f t="shared" si="23"/>
        <v>OK.</v>
      </c>
      <c r="F108" s="125" t="str">
        <f t="shared" si="23"/>
        <v>OK.</v>
      </c>
      <c r="G108" s="125" t="str">
        <f t="shared" si="23"/>
        <v>OK.</v>
      </c>
      <c r="H108" s="125" t="str">
        <f t="shared" si="23"/>
        <v>OK.</v>
      </c>
      <c r="I108" s="125" t="str">
        <f t="shared" si="23"/>
        <v>OK.</v>
      </c>
      <c r="J108" s="125" t="str">
        <f t="shared" si="23"/>
        <v>OK.</v>
      </c>
      <c r="K108" s="125" t="str">
        <f t="shared" si="23"/>
        <v>OK.</v>
      </c>
      <c r="L108" s="125" t="str">
        <f t="shared" si="23"/>
        <v>OK.</v>
      </c>
      <c r="M108" s="125" t="str">
        <f t="shared" si="23"/>
        <v>OK.</v>
      </c>
      <c r="N108" s="125" t="str">
        <f t="shared" si="23"/>
        <v>OK.</v>
      </c>
      <c r="O108" s="125" t="str">
        <f t="shared" si="23"/>
        <v>OK.</v>
      </c>
      <c r="P108" s="125" t="str">
        <f t="shared" si="23"/>
        <v>OK.</v>
      </c>
      <c r="Q108" s="125" t="str">
        <f t="shared" si="23"/>
        <v>OK.</v>
      </c>
      <c r="R108" s="125" t="str">
        <f t="shared" si="23"/>
        <v>OK.</v>
      </c>
      <c r="S108" s="125" t="str">
        <f t="shared" si="23"/>
        <v>OK.</v>
      </c>
      <c r="T108" s="125" t="str">
        <f t="shared" si="23"/>
        <v>OK.</v>
      </c>
      <c r="U108" s="125" t="str">
        <f t="shared" si="23"/>
        <v>OK.</v>
      </c>
      <c r="V108" s="125" t="str">
        <f t="shared" si="23"/>
        <v>OK.</v>
      </c>
      <c r="W108" s="125" t="str">
        <f t="shared" si="23"/>
        <v>OK.</v>
      </c>
      <c r="X108" s="125" t="str">
        <f t="shared" si="23"/>
        <v>OK.</v>
      </c>
      <c r="Y108" s="125" t="str">
        <f t="shared" si="23"/>
        <v>OK.</v>
      </c>
      <c r="Z108" s="125" t="str">
        <f t="shared" si="23"/>
        <v>OK.</v>
      </c>
      <c r="AA108" s="125" t="str">
        <f t="shared" si="23"/>
        <v>OK.</v>
      </c>
      <c r="AB108" s="125" t="str">
        <f t="shared" si="23"/>
        <v>OK.</v>
      </c>
      <c r="AC108" s="125" t="str">
        <f t="shared" si="23"/>
        <v>OK.</v>
      </c>
      <c r="AD108" s="125" t="str">
        <f t="shared" si="23"/>
        <v>OK.</v>
      </c>
      <c r="AE108" s="125" t="str">
        <f t="shared" si="23"/>
        <v>OK.</v>
      </c>
      <c r="AF108" s="125" t="str">
        <f t="shared" si="23"/>
        <v>OK.</v>
      </c>
      <c r="AG108" s="125" t="str">
        <f t="shared" si="23"/>
        <v>OK.</v>
      </c>
    </row>
    <row r="109" spans="2:33" ht="14.25" outlineLevel="1"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</row>
    <row r="110" spans="2:33" ht="33.75" outlineLevel="1">
      <c r="B110" s="129" t="s">
        <v>382</v>
      </c>
      <c r="C110" s="125" t="str">
        <f>+IF(C7&lt;C8,"Za wysokie","OK.")</f>
        <v>OK.</v>
      </c>
      <c r="D110" s="125" t="str">
        <f aca="true" t="shared" si="24" ref="D110:AG111">+IF(D7&lt;D8,"Za wysokie","OK.")</f>
        <v>OK.</v>
      </c>
      <c r="E110" s="125" t="str">
        <f t="shared" si="24"/>
        <v>OK.</v>
      </c>
      <c r="F110" s="125" t="str">
        <f t="shared" si="24"/>
        <v>OK.</v>
      </c>
      <c r="G110" s="125" t="str">
        <f t="shared" si="24"/>
        <v>OK.</v>
      </c>
      <c r="H110" s="125" t="str">
        <f t="shared" si="24"/>
        <v>OK.</v>
      </c>
      <c r="I110" s="125" t="str">
        <f t="shared" si="24"/>
        <v>OK.</v>
      </c>
      <c r="J110" s="125" t="str">
        <f t="shared" si="24"/>
        <v>OK.</v>
      </c>
      <c r="K110" s="125" t="str">
        <f t="shared" si="24"/>
        <v>OK.</v>
      </c>
      <c r="L110" s="125" t="str">
        <f t="shared" si="24"/>
        <v>OK.</v>
      </c>
      <c r="M110" s="125" t="str">
        <f t="shared" si="24"/>
        <v>OK.</v>
      </c>
      <c r="N110" s="125" t="str">
        <f t="shared" si="24"/>
        <v>OK.</v>
      </c>
      <c r="O110" s="125" t="str">
        <f t="shared" si="24"/>
        <v>OK.</v>
      </c>
      <c r="P110" s="125" t="str">
        <f t="shared" si="24"/>
        <v>OK.</v>
      </c>
      <c r="Q110" s="125" t="str">
        <f t="shared" si="24"/>
        <v>OK.</v>
      </c>
      <c r="R110" s="125" t="str">
        <f t="shared" si="24"/>
        <v>OK.</v>
      </c>
      <c r="S110" s="125" t="str">
        <f t="shared" si="24"/>
        <v>OK.</v>
      </c>
      <c r="T110" s="125" t="str">
        <f t="shared" si="24"/>
        <v>OK.</v>
      </c>
      <c r="U110" s="125" t="str">
        <f t="shared" si="24"/>
        <v>OK.</v>
      </c>
      <c r="V110" s="125" t="str">
        <f t="shared" si="24"/>
        <v>OK.</v>
      </c>
      <c r="W110" s="125" t="str">
        <f t="shared" si="24"/>
        <v>OK.</v>
      </c>
      <c r="X110" s="125" t="str">
        <f t="shared" si="24"/>
        <v>OK.</v>
      </c>
      <c r="Y110" s="125" t="str">
        <f t="shared" si="24"/>
        <v>OK.</v>
      </c>
      <c r="Z110" s="125" t="str">
        <f t="shared" si="24"/>
        <v>OK.</v>
      </c>
      <c r="AA110" s="125" t="str">
        <f t="shared" si="24"/>
        <v>OK.</v>
      </c>
      <c r="AB110" s="125" t="str">
        <f t="shared" si="24"/>
        <v>OK.</v>
      </c>
      <c r="AC110" s="125" t="str">
        <f t="shared" si="24"/>
        <v>OK.</v>
      </c>
      <c r="AD110" s="125" t="str">
        <f t="shared" si="24"/>
        <v>OK.</v>
      </c>
      <c r="AE110" s="125" t="str">
        <f t="shared" si="24"/>
        <v>OK.</v>
      </c>
      <c r="AF110" s="125" t="str">
        <f t="shared" si="24"/>
        <v>OK.</v>
      </c>
      <c r="AG110" s="125" t="str">
        <f t="shared" si="24"/>
        <v>OK.</v>
      </c>
    </row>
    <row r="111" spans="2:33" ht="33.75" outlineLevel="1">
      <c r="B111" s="129" t="s">
        <v>385</v>
      </c>
      <c r="C111" s="125" t="str">
        <f>+IF(C8&lt;C9,"Za wysokie","OK.")</f>
        <v>OK.</v>
      </c>
      <c r="D111" s="125" t="str">
        <f t="shared" si="24"/>
        <v>OK.</v>
      </c>
      <c r="E111" s="125" t="str">
        <f t="shared" si="24"/>
        <v>OK.</v>
      </c>
      <c r="F111" s="125" t="str">
        <f t="shared" si="24"/>
        <v>OK.</v>
      </c>
      <c r="G111" s="125" t="str">
        <f t="shared" si="24"/>
        <v>OK.</v>
      </c>
      <c r="H111" s="125" t="str">
        <f t="shared" si="24"/>
        <v>OK.</v>
      </c>
      <c r="I111" s="125" t="str">
        <f t="shared" si="24"/>
        <v>OK.</v>
      </c>
      <c r="J111" s="125" t="str">
        <f t="shared" si="24"/>
        <v>OK.</v>
      </c>
      <c r="K111" s="125" t="str">
        <f t="shared" si="24"/>
        <v>OK.</v>
      </c>
      <c r="L111" s="125" t="str">
        <f t="shared" si="24"/>
        <v>OK.</v>
      </c>
      <c r="M111" s="125" t="str">
        <f t="shared" si="24"/>
        <v>OK.</v>
      </c>
      <c r="N111" s="125" t="str">
        <f t="shared" si="24"/>
        <v>OK.</v>
      </c>
      <c r="O111" s="125" t="str">
        <f t="shared" si="24"/>
        <v>OK.</v>
      </c>
      <c r="P111" s="125" t="str">
        <f t="shared" si="24"/>
        <v>OK.</v>
      </c>
      <c r="Q111" s="125" t="str">
        <f t="shared" si="24"/>
        <v>OK.</v>
      </c>
      <c r="R111" s="125" t="str">
        <f t="shared" si="24"/>
        <v>OK.</v>
      </c>
      <c r="S111" s="125" t="str">
        <f t="shared" si="24"/>
        <v>OK.</v>
      </c>
      <c r="T111" s="125" t="str">
        <f t="shared" si="24"/>
        <v>OK.</v>
      </c>
      <c r="U111" s="125" t="str">
        <f t="shared" si="24"/>
        <v>OK.</v>
      </c>
      <c r="V111" s="125" t="str">
        <f t="shared" si="24"/>
        <v>OK.</v>
      </c>
      <c r="W111" s="125" t="str">
        <f t="shared" si="24"/>
        <v>OK.</v>
      </c>
      <c r="X111" s="125" t="str">
        <f t="shared" si="24"/>
        <v>OK.</v>
      </c>
      <c r="Y111" s="125" t="str">
        <f t="shared" si="24"/>
        <v>OK.</v>
      </c>
      <c r="Z111" s="125" t="str">
        <f t="shared" si="24"/>
        <v>OK.</v>
      </c>
      <c r="AA111" s="125" t="str">
        <f t="shared" si="24"/>
        <v>OK.</v>
      </c>
      <c r="AB111" s="125" t="str">
        <f t="shared" si="24"/>
        <v>OK.</v>
      </c>
      <c r="AC111" s="125" t="str">
        <f t="shared" si="24"/>
        <v>OK.</v>
      </c>
      <c r="AD111" s="125" t="str">
        <f t="shared" si="24"/>
        <v>OK.</v>
      </c>
      <c r="AE111" s="125" t="str">
        <f t="shared" si="24"/>
        <v>OK.</v>
      </c>
      <c r="AF111" s="125" t="str">
        <f t="shared" si="24"/>
        <v>OK.</v>
      </c>
      <c r="AG111" s="125" t="str">
        <f t="shared" si="24"/>
        <v>OK.</v>
      </c>
    </row>
    <row r="112" spans="2:33" ht="33.75" outlineLevel="1">
      <c r="B112" s="129" t="s">
        <v>383</v>
      </c>
      <c r="C112" s="125" t="str">
        <f>+IF(C10&lt;C12,"Za wysokie","OK.")</f>
        <v>OK.</v>
      </c>
      <c r="D112" s="125" t="str">
        <f aca="true" t="shared" si="25" ref="D112:AG112">+IF(D10&lt;D12,"Za wysokie","OK.")</f>
        <v>OK.</v>
      </c>
      <c r="E112" s="125" t="str">
        <f t="shared" si="25"/>
        <v>OK.</v>
      </c>
      <c r="F112" s="125" t="str">
        <f t="shared" si="25"/>
        <v>OK.</v>
      </c>
      <c r="G112" s="125" t="str">
        <f t="shared" si="25"/>
        <v>OK.</v>
      </c>
      <c r="H112" s="125" t="str">
        <f t="shared" si="25"/>
        <v>OK.</v>
      </c>
      <c r="I112" s="125" t="str">
        <f t="shared" si="25"/>
        <v>OK.</v>
      </c>
      <c r="J112" s="125" t="str">
        <f t="shared" si="25"/>
        <v>OK.</v>
      </c>
      <c r="K112" s="125" t="str">
        <f t="shared" si="25"/>
        <v>OK.</v>
      </c>
      <c r="L112" s="125" t="str">
        <f t="shared" si="25"/>
        <v>OK.</v>
      </c>
      <c r="M112" s="125" t="str">
        <f t="shared" si="25"/>
        <v>OK.</v>
      </c>
      <c r="N112" s="125" t="str">
        <f t="shared" si="25"/>
        <v>OK.</v>
      </c>
      <c r="O112" s="125" t="str">
        <f t="shared" si="25"/>
        <v>OK.</v>
      </c>
      <c r="P112" s="125" t="str">
        <f t="shared" si="25"/>
        <v>OK.</v>
      </c>
      <c r="Q112" s="125" t="str">
        <f t="shared" si="25"/>
        <v>OK.</v>
      </c>
      <c r="R112" s="125" t="str">
        <f t="shared" si="25"/>
        <v>OK.</v>
      </c>
      <c r="S112" s="125" t="str">
        <f t="shared" si="25"/>
        <v>OK.</v>
      </c>
      <c r="T112" s="125" t="str">
        <f t="shared" si="25"/>
        <v>OK.</v>
      </c>
      <c r="U112" s="125" t="str">
        <f t="shared" si="25"/>
        <v>OK.</v>
      </c>
      <c r="V112" s="125" t="str">
        <f t="shared" si="25"/>
        <v>OK.</v>
      </c>
      <c r="W112" s="125" t="str">
        <f t="shared" si="25"/>
        <v>OK.</v>
      </c>
      <c r="X112" s="125" t="str">
        <f t="shared" si="25"/>
        <v>OK.</v>
      </c>
      <c r="Y112" s="125" t="str">
        <f t="shared" si="25"/>
        <v>OK.</v>
      </c>
      <c r="Z112" s="125" t="str">
        <f t="shared" si="25"/>
        <v>OK.</v>
      </c>
      <c r="AA112" s="125" t="str">
        <f t="shared" si="25"/>
        <v>OK.</v>
      </c>
      <c r="AB112" s="125" t="str">
        <f t="shared" si="25"/>
        <v>OK.</v>
      </c>
      <c r="AC112" s="125" t="str">
        <f t="shared" si="25"/>
        <v>OK.</v>
      </c>
      <c r="AD112" s="125" t="str">
        <f t="shared" si="25"/>
        <v>OK.</v>
      </c>
      <c r="AE112" s="125" t="str">
        <f t="shared" si="25"/>
        <v>OK.</v>
      </c>
      <c r="AF112" s="125" t="str">
        <f t="shared" si="25"/>
        <v>OK.</v>
      </c>
      <c r="AG112" s="125" t="str">
        <f t="shared" si="25"/>
        <v>OK.</v>
      </c>
    </row>
    <row r="113" spans="2:33" ht="33.75" outlineLevel="1">
      <c r="B113" s="129" t="s">
        <v>384</v>
      </c>
      <c r="C113" s="125" t="str">
        <f>+IF(C12&lt;C13,"Za wysokie","OK.")</f>
        <v>OK.</v>
      </c>
      <c r="D113" s="125" t="str">
        <f aca="true" t="shared" si="26" ref="D113:AG113">+IF(D12&lt;D13,"Za wysokie","OK.")</f>
        <v>OK.</v>
      </c>
      <c r="E113" s="125" t="str">
        <f t="shared" si="26"/>
        <v>OK.</v>
      </c>
      <c r="F113" s="125" t="str">
        <f t="shared" si="26"/>
        <v>OK.</v>
      </c>
      <c r="G113" s="125" t="str">
        <f t="shared" si="26"/>
        <v>OK.</v>
      </c>
      <c r="H113" s="125" t="str">
        <f t="shared" si="26"/>
        <v>OK.</v>
      </c>
      <c r="I113" s="125" t="str">
        <f t="shared" si="26"/>
        <v>OK.</v>
      </c>
      <c r="J113" s="125" t="str">
        <f t="shared" si="26"/>
        <v>OK.</v>
      </c>
      <c r="K113" s="125" t="str">
        <f t="shared" si="26"/>
        <v>OK.</v>
      </c>
      <c r="L113" s="125" t="str">
        <f t="shared" si="26"/>
        <v>OK.</v>
      </c>
      <c r="M113" s="125" t="str">
        <f t="shared" si="26"/>
        <v>OK.</v>
      </c>
      <c r="N113" s="125" t="str">
        <f t="shared" si="26"/>
        <v>OK.</v>
      </c>
      <c r="O113" s="125" t="str">
        <f t="shared" si="26"/>
        <v>OK.</v>
      </c>
      <c r="P113" s="125" t="str">
        <f t="shared" si="26"/>
        <v>OK.</v>
      </c>
      <c r="Q113" s="125" t="str">
        <f t="shared" si="26"/>
        <v>OK.</v>
      </c>
      <c r="R113" s="125" t="str">
        <f t="shared" si="26"/>
        <v>OK.</v>
      </c>
      <c r="S113" s="125" t="str">
        <f t="shared" si="26"/>
        <v>OK.</v>
      </c>
      <c r="T113" s="125" t="str">
        <f t="shared" si="26"/>
        <v>OK.</v>
      </c>
      <c r="U113" s="125" t="str">
        <f t="shared" si="26"/>
        <v>OK.</v>
      </c>
      <c r="V113" s="125" t="str">
        <f t="shared" si="26"/>
        <v>OK.</v>
      </c>
      <c r="W113" s="125" t="str">
        <f t="shared" si="26"/>
        <v>OK.</v>
      </c>
      <c r="X113" s="125" t="str">
        <f t="shared" si="26"/>
        <v>OK.</v>
      </c>
      <c r="Y113" s="125" t="str">
        <f t="shared" si="26"/>
        <v>OK.</v>
      </c>
      <c r="Z113" s="125" t="str">
        <f t="shared" si="26"/>
        <v>OK.</v>
      </c>
      <c r="AA113" s="125" t="str">
        <f t="shared" si="26"/>
        <v>OK.</v>
      </c>
      <c r="AB113" s="125" t="str">
        <f t="shared" si="26"/>
        <v>OK.</v>
      </c>
      <c r="AC113" s="125" t="str">
        <f t="shared" si="26"/>
        <v>OK.</v>
      </c>
      <c r="AD113" s="125" t="str">
        <f t="shared" si="26"/>
        <v>OK.</v>
      </c>
      <c r="AE113" s="125" t="str">
        <f t="shared" si="26"/>
        <v>OK.</v>
      </c>
      <c r="AF113" s="125" t="str">
        <f t="shared" si="26"/>
        <v>OK.</v>
      </c>
      <c r="AG113" s="125" t="str">
        <f t="shared" si="26"/>
        <v>OK.</v>
      </c>
    </row>
    <row r="114" spans="2:33" ht="22.5" outlineLevel="1">
      <c r="B114" s="129" t="s">
        <v>241</v>
      </c>
      <c r="C114" s="125" t="str">
        <f aca="true" t="shared" si="27" ref="C114:AG114">+IF(C10&lt;(C11+C13),"Za wysokie","OK.")</f>
        <v>OK.</v>
      </c>
      <c r="D114" s="125" t="str">
        <f t="shared" si="27"/>
        <v>OK.</v>
      </c>
      <c r="E114" s="125" t="str">
        <f t="shared" si="27"/>
        <v>OK.</v>
      </c>
      <c r="F114" s="125" t="str">
        <f t="shared" si="27"/>
        <v>OK.</v>
      </c>
      <c r="G114" s="125" t="str">
        <f t="shared" si="27"/>
        <v>OK.</v>
      </c>
      <c r="H114" s="125" t="str">
        <f t="shared" si="27"/>
        <v>OK.</v>
      </c>
      <c r="I114" s="125" t="str">
        <f t="shared" si="27"/>
        <v>OK.</v>
      </c>
      <c r="J114" s="125" t="str">
        <f t="shared" si="27"/>
        <v>OK.</v>
      </c>
      <c r="K114" s="125" t="str">
        <f t="shared" si="27"/>
        <v>OK.</v>
      </c>
      <c r="L114" s="125" t="str">
        <f t="shared" si="27"/>
        <v>OK.</v>
      </c>
      <c r="M114" s="125" t="str">
        <f t="shared" si="27"/>
        <v>OK.</v>
      </c>
      <c r="N114" s="125" t="str">
        <f t="shared" si="27"/>
        <v>OK.</v>
      </c>
      <c r="O114" s="125" t="str">
        <f t="shared" si="27"/>
        <v>OK.</v>
      </c>
      <c r="P114" s="125" t="str">
        <f t="shared" si="27"/>
        <v>OK.</v>
      </c>
      <c r="Q114" s="125" t="str">
        <f t="shared" si="27"/>
        <v>OK.</v>
      </c>
      <c r="R114" s="125" t="str">
        <f t="shared" si="27"/>
        <v>OK.</v>
      </c>
      <c r="S114" s="125" t="str">
        <f t="shared" si="27"/>
        <v>OK.</v>
      </c>
      <c r="T114" s="125" t="str">
        <f t="shared" si="27"/>
        <v>OK.</v>
      </c>
      <c r="U114" s="125" t="str">
        <f t="shared" si="27"/>
        <v>OK.</v>
      </c>
      <c r="V114" s="125" t="str">
        <f t="shared" si="27"/>
        <v>OK.</v>
      </c>
      <c r="W114" s="125" t="str">
        <f t="shared" si="27"/>
        <v>OK.</v>
      </c>
      <c r="X114" s="125" t="str">
        <f t="shared" si="27"/>
        <v>OK.</v>
      </c>
      <c r="Y114" s="125" t="str">
        <f t="shared" si="27"/>
        <v>OK.</v>
      </c>
      <c r="Z114" s="125" t="str">
        <f t="shared" si="27"/>
        <v>OK.</v>
      </c>
      <c r="AA114" s="125" t="str">
        <f t="shared" si="27"/>
        <v>OK.</v>
      </c>
      <c r="AB114" s="125" t="str">
        <f t="shared" si="27"/>
        <v>OK.</v>
      </c>
      <c r="AC114" s="125" t="str">
        <f t="shared" si="27"/>
        <v>OK.</v>
      </c>
      <c r="AD114" s="125" t="str">
        <f t="shared" si="27"/>
        <v>OK.</v>
      </c>
      <c r="AE114" s="125" t="str">
        <f t="shared" si="27"/>
        <v>OK.</v>
      </c>
      <c r="AF114" s="125" t="str">
        <f t="shared" si="27"/>
        <v>OK.</v>
      </c>
      <c r="AG114" s="125" t="str">
        <f t="shared" si="27"/>
        <v>OK.</v>
      </c>
    </row>
    <row r="115" spans="2:33" ht="33.75" outlineLevel="1">
      <c r="B115" s="129" t="s">
        <v>155</v>
      </c>
      <c r="C115" s="125" t="str">
        <f aca="true" t="shared" si="28" ref="C115:AG115">+IF(C16&lt;C20,"Za wysokie","OK.")</f>
        <v>OK.</v>
      </c>
      <c r="D115" s="125" t="str">
        <f t="shared" si="28"/>
        <v>OK.</v>
      </c>
      <c r="E115" s="125" t="str">
        <f t="shared" si="28"/>
        <v>OK.</v>
      </c>
      <c r="F115" s="125" t="str">
        <f t="shared" si="28"/>
        <v>OK.</v>
      </c>
      <c r="G115" s="125" t="str">
        <f t="shared" si="28"/>
        <v>OK.</v>
      </c>
      <c r="H115" s="125" t="str">
        <f t="shared" si="28"/>
        <v>OK.</v>
      </c>
      <c r="I115" s="125" t="str">
        <f t="shared" si="28"/>
        <v>OK.</v>
      </c>
      <c r="J115" s="125" t="str">
        <f t="shared" si="28"/>
        <v>OK.</v>
      </c>
      <c r="K115" s="125" t="str">
        <f t="shared" si="28"/>
        <v>OK.</v>
      </c>
      <c r="L115" s="125" t="str">
        <f t="shared" si="28"/>
        <v>OK.</v>
      </c>
      <c r="M115" s="125" t="str">
        <f t="shared" si="28"/>
        <v>OK.</v>
      </c>
      <c r="N115" s="125" t="str">
        <f t="shared" si="28"/>
        <v>OK.</v>
      </c>
      <c r="O115" s="125" t="str">
        <f t="shared" si="28"/>
        <v>OK.</v>
      </c>
      <c r="P115" s="125" t="str">
        <f t="shared" si="28"/>
        <v>OK.</v>
      </c>
      <c r="Q115" s="125" t="str">
        <f t="shared" si="28"/>
        <v>OK.</v>
      </c>
      <c r="R115" s="125" t="str">
        <f t="shared" si="28"/>
        <v>OK.</v>
      </c>
      <c r="S115" s="125" t="str">
        <f t="shared" si="28"/>
        <v>OK.</v>
      </c>
      <c r="T115" s="125" t="str">
        <f t="shared" si="28"/>
        <v>OK.</v>
      </c>
      <c r="U115" s="125" t="str">
        <f t="shared" si="28"/>
        <v>OK.</v>
      </c>
      <c r="V115" s="125" t="str">
        <f t="shared" si="28"/>
        <v>OK.</v>
      </c>
      <c r="W115" s="125" t="str">
        <f t="shared" si="28"/>
        <v>OK.</v>
      </c>
      <c r="X115" s="125" t="str">
        <f t="shared" si="28"/>
        <v>OK.</v>
      </c>
      <c r="Y115" s="125" t="str">
        <f t="shared" si="28"/>
        <v>OK.</v>
      </c>
      <c r="Z115" s="125" t="str">
        <f t="shared" si="28"/>
        <v>OK.</v>
      </c>
      <c r="AA115" s="125" t="str">
        <f t="shared" si="28"/>
        <v>OK.</v>
      </c>
      <c r="AB115" s="125" t="str">
        <f t="shared" si="28"/>
        <v>OK.</v>
      </c>
      <c r="AC115" s="125" t="str">
        <f t="shared" si="28"/>
        <v>OK.</v>
      </c>
      <c r="AD115" s="125" t="str">
        <f t="shared" si="28"/>
        <v>OK.</v>
      </c>
      <c r="AE115" s="125" t="str">
        <f t="shared" si="28"/>
        <v>OK.</v>
      </c>
      <c r="AF115" s="125" t="str">
        <f t="shared" si="28"/>
        <v>OK.</v>
      </c>
      <c r="AG115" s="125" t="str">
        <f t="shared" si="28"/>
        <v>OK.</v>
      </c>
    </row>
    <row r="116" spans="2:33" ht="33.75" outlineLevel="1">
      <c r="B116" s="129" t="s">
        <v>381</v>
      </c>
      <c r="C116" s="125" t="str">
        <f>+IF(C20&lt;C21,"Za wysokie","OK.")</f>
        <v>OK.</v>
      </c>
      <c r="D116" s="125" t="str">
        <f aca="true" t="shared" si="29" ref="D116:AG116">+IF(D20&lt;D21,"Za wysokie","OK.")</f>
        <v>OK.</v>
      </c>
      <c r="E116" s="125" t="str">
        <f t="shared" si="29"/>
        <v>OK.</v>
      </c>
      <c r="F116" s="125" t="str">
        <f t="shared" si="29"/>
        <v>OK.</v>
      </c>
      <c r="G116" s="125" t="str">
        <f t="shared" si="29"/>
        <v>OK.</v>
      </c>
      <c r="H116" s="125" t="str">
        <f t="shared" si="29"/>
        <v>OK.</v>
      </c>
      <c r="I116" s="125" t="str">
        <f t="shared" si="29"/>
        <v>OK.</v>
      </c>
      <c r="J116" s="125" t="str">
        <f t="shared" si="29"/>
        <v>OK.</v>
      </c>
      <c r="K116" s="125" t="str">
        <f t="shared" si="29"/>
        <v>OK.</v>
      </c>
      <c r="L116" s="125" t="str">
        <f t="shared" si="29"/>
        <v>OK.</v>
      </c>
      <c r="M116" s="125" t="str">
        <f t="shared" si="29"/>
        <v>OK.</v>
      </c>
      <c r="N116" s="125" t="str">
        <f t="shared" si="29"/>
        <v>OK.</v>
      </c>
      <c r="O116" s="125" t="str">
        <f t="shared" si="29"/>
        <v>OK.</v>
      </c>
      <c r="P116" s="125" t="str">
        <f t="shared" si="29"/>
        <v>OK.</v>
      </c>
      <c r="Q116" s="125" t="str">
        <f t="shared" si="29"/>
        <v>OK.</v>
      </c>
      <c r="R116" s="125" t="str">
        <f t="shared" si="29"/>
        <v>OK.</v>
      </c>
      <c r="S116" s="125" t="str">
        <f t="shared" si="29"/>
        <v>OK.</v>
      </c>
      <c r="T116" s="125" t="str">
        <f t="shared" si="29"/>
        <v>OK.</v>
      </c>
      <c r="U116" s="125" t="str">
        <f t="shared" si="29"/>
        <v>OK.</v>
      </c>
      <c r="V116" s="125" t="str">
        <f t="shared" si="29"/>
        <v>OK.</v>
      </c>
      <c r="W116" s="125" t="str">
        <f t="shared" si="29"/>
        <v>OK.</v>
      </c>
      <c r="X116" s="125" t="str">
        <f t="shared" si="29"/>
        <v>OK.</v>
      </c>
      <c r="Y116" s="125" t="str">
        <f t="shared" si="29"/>
        <v>OK.</v>
      </c>
      <c r="Z116" s="125" t="str">
        <f t="shared" si="29"/>
        <v>OK.</v>
      </c>
      <c r="AA116" s="125" t="str">
        <f t="shared" si="29"/>
        <v>OK.</v>
      </c>
      <c r="AB116" s="125" t="str">
        <f t="shared" si="29"/>
        <v>OK.</v>
      </c>
      <c r="AC116" s="125" t="str">
        <f t="shared" si="29"/>
        <v>OK.</v>
      </c>
      <c r="AD116" s="125" t="str">
        <f t="shared" si="29"/>
        <v>OK.</v>
      </c>
      <c r="AE116" s="125" t="str">
        <f t="shared" si="29"/>
        <v>OK.</v>
      </c>
      <c r="AF116" s="125" t="str">
        <f t="shared" si="29"/>
        <v>OK.</v>
      </c>
      <c r="AG116" s="125" t="str">
        <f t="shared" si="29"/>
        <v>OK.</v>
      </c>
    </row>
    <row r="117" spans="2:33" ht="33.75" outlineLevel="1">
      <c r="B117" s="266" t="s">
        <v>151</v>
      </c>
      <c r="C117" s="125" t="str">
        <f aca="true" t="shared" si="30" ref="C117:AG117">+IF(C24&lt;C25,"Za wysokie","OK.")</f>
        <v>OK.</v>
      </c>
      <c r="D117" s="125" t="str">
        <f t="shared" si="30"/>
        <v>OK.</v>
      </c>
      <c r="E117" s="125" t="str">
        <f t="shared" si="30"/>
        <v>OK.</v>
      </c>
      <c r="F117" s="125" t="str">
        <f t="shared" si="30"/>
        <v>OK.</v>
      </c>
      <c r="G117" s="125" t="str">
        <f t="shared" si="30"/>
        <v>OK.</v>
      </c>
      <c r="H117" s="125" t="str">
        <f t="shared" si="30"/>
        <v>OK.</v>
      </c>
      <c r="I117" s="125" t="str">
        <f t="shared" si="30"/>
        <v>OK.</v>
      </c>
      <c r="J117" s="125" t="str">
        <f t="shared" si="30"/>
        <v>OK.</v>
      </c>
      <c r="K117" s="125" t="str">
        <f t="shared" si="30"/>
        <v>OK.</v>
      </c>
      <c r="L117" s="125" t="str">
        <f t="shared" si="30"/>
        <v>OK.</v>
      </c>
      <c r="M117" s="125" t="str">
        <f t="shared" si="30"/>
        <v>OK.</v>
      </c>
      <c r="N117" s="125" t="str">
        <f t="shared" si="30"/>
        <v>OK.</v>
      </c>
      <c r="O117" s="125" t="str">
        <f t="shared" si="30"/>
        <v>OK.</v>
      </c>
      <c r="P117" s="125" t="str">
        <f t="shared" si="30"/>
        <v>OK.</v>
      </c>
      <c r="Q117" s="125" t="str">
        <f t="shared" si="30"/>
        <v>OK.</v>
      </c>
      <c r="R117" s="125" t="str">
        <f t="shared" si="30"/>
        <v>OK.</v>
      </c>
      <c r="S117" s="125" t="str">
        <f t="shared" si="30"/>
        <v>OK.</v>
      </c>
      <c r="T117" s="125" t="str">
        <f t="shared" si="30"/>
        <v>OK.</v>
      </c>
      <c r="U117" s="125" t="str">
        <f t="shared" si="30"/>
        <v>OK.</v>
      </c>
      <c r="V117" s="125" t="str">
        <f t="shared" si="30"/>
        <v>OK.</v>
      </c>
      <c r="W117" s="125" t="str">
        <f t="shared" si="30"/>
        <v>OK.</v>
      </c>
      <c r="X117" s="125" t="str">
        <f t="shared" si="30"/>
        <v>OK.</v>
      </c>
      <c r="Y117" s="125" t="str">
        <f t="shared" si="30"/>
        <v>OK.</v>
      </c>
      <c r="Z117" s="125" t="str">
        <f t="shared" si="30"/>
        <v>OK.</v>
      </c>
      <c r="AA117" s="125" t="str">
        <f t="shared" si="30"/>
        <v>OK.</v>
      </c>
      <c r="AB117" s="125" t="str">
        <f t="shared" si="30"/>
        <v>OK.</v>
      </c>
      <c r="AC117" s="125" t="str">
        <f t="shared" si="30"/>
        <v>OK.</v>
      </c>
      <c r="AD117" s="125" t="str">
        <f t="shared" si="30"/>
        <v>OK.</v>
      </c>
      <c r="AE117" s="125" t="str">
        <f t="shared" si="30"/>
        <v>OK.</v>
      </c>
      <c r="AF117" s="125" t="str">
        <f t="shared" si="30"/>
        <v>OK.</v>
      </c>
      <c r="AG117" s="125" t="str">
        <f t="shared" si="30"/>
        <v>OK.</v>
      </c>
    </row>
    <row r="118" spans="2:33" ht="45" outlineLevel="1">
      <c r="B118" s="131" t="s">
        <v>380</v>
      </c>
      <c r="C118" s="132" t="str">
        <f aca="true" t="shared" si="31" ref="C118:AG118">+IF(C25&lt;C26,"Za wysokie","OK.")</f>
        <v>OK.</v>
      </c>
      <c r="D118" s="132" t="str">
        <f t="shared" si="31"/>
        <v>OK.</v>
      </c>
      <c r="E118" s="132" t="str">
        <f t="shared" si="31"/>
        <v>OK.</v>
      </c>
      <c r="F118" s="132" t="str">
        <f t="shared" si="31"/>
        <v>OK.</v>
      </c>
      <c r="G118" s="132" t="str">
        <f t="shared" si="31"/>
        <v>OK.</v>
      </c>
      <c r="H118" s="132" t="str">
        <f t="shared" si="31"/>
        <v>OK.</v>
      </c>
      <c r="I118" s="132" t="str">
        <f t="shared" si="31"/>
        <v>OK.</v>
      </c>
      <c r="J118" s="132" t="str">
        <f t="shared" si="31"/>
        <v>OK.</v>
      </c>
      <c r="K118" s="132" t="str">
        <f t="shared" si="31"/>
        <v>OK.</v>
      </c>
      <c r="L118" s="132" t="str">
        <f t="shared" si="31"/>
        <v>OK.</v>
      </c>
      <c r="M118" s="132" t="str">
        <f t="shared" si="31"/>
        <v>OK.</v>
      </c>
      <c r="N118" s="132" t="str">
        <f t="shared" si="31"/>
        <v>OK.</v>
      </c>
      <c r="O118" s="132" t="str">
        <f t="shared" si="31"/>
        <v>OK.</v>
      </c>
      <c r="P118" s="132" t="str">
        <f t="shared" si="31"/>
        <v>OK.</v>
      </c>
      <c r="Q118" s="132" t="str">
        <f t="shared" si="31"/>
        <v>OK.</v>
      </c>
      <c r="R118" s="132" t="str">
        <f t="shared" si="31"/>
        <v>OK.</v>
      </c>
      <c r="S118" s="132" t="str">
        <f t="shared" si="31"/>
        <v>OK.</v>
      </c>
      <c r="T118" s="132" t="str">
        <f t="shared" si="31"/>
        <v>OK.</v>
      </c>
      <c r="U118" s="132" t="str">
        <f t="shared" si="31"/>
        <v>OK.</v>
      </c>
      <c r="V118" s="132" t="str">
        <f t="shared" si="31"/>
        <v>OK.</v>
      </c>
      <c r="W118" s="132" t="str">
        <f t="shared" si="31"/>
        <v>OK.</v>
      </c>
      <c r="X118" s="132" t="str">
        <f t="shared" si="31"/>
        <v>OK.</v>
      </c>
      <c r="Y118" s="132" t="str">
        <f t="shared" si="31"/>
        <v>OK.</v>
      </c>
      <c r="Z118" s="132" t="str">
        <f t="shared" si="31"/>
        <v>OK.</v>
      </c>
      <c r="AA118" s="132" t="str">
        <f t="shared" si="31"/>
        <v>OK.</v>
      </c>
      <c r="AB118" s="132" t="str">
        <f t="shared" si="31"/>
        <v>OK.</v>
      </c>
      <c r="AC118" s="132" t="str">
        <f t="shared" si="31"/>
        <v>OK.</v>
      </c>
      <c r="AD118" s="132" t="str">
        <f t="shared" si="31"/>
        <v>OK.</v>
      </c>
      <c r="AE118" s="132" t="str">
        <f t="shared" si="31"/>
        <v>OK.</v>
      </c>
      <c r="AF118" s="132" t="str">
        <f t="shared" si="31"/>
        <v>OK.</v>
      </c>
      <c r="AG118" s="132" t="str">
        <f t="shared" si="31"/>
        <v>OK.</v>
      </c>
    </row>
    <row r="119" spans="1:33" ht="14.25" outlineLevel="1">
      <c r="A119" s="184"/>
      <c r="B119" s="186" t="s">
        <v>205</v>
      </c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</row>
    <row r="120" spans="1:33" ht="14.25" outlineLevel="1">
      <c r="A120" s="184"/>
      <c r="B120" s="186" t="s">
        <v>212</v>
      </c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</row>
    <row r="121" spans="1:33" ht="24" outlineLevel="1">
      <c r="A121" s="184"/>
      <c r="B121" s="185" t="s">
        <v>206</v>
      </c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</row>
    <row r="122" spans="1:33" ht="24" outlineLevel="1">
      <c r="A122" s="184"/>
      <c r="B122" s="187" t="s">
        <v>207</v>
      </c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</row>
    <row r="123" spans="1:33" ht="36" outlineLevel="1">
      <c r="A123" s="184"/>
      <c r="B123" s="187" t="s">
        <v>208</v>
      </c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</row>
    <row r="124" spans="1:33" ht="24" outlineLevel="1">
      <c r="A124" s="184"/>
      <c r="B124" s="187" t="s">
        <v>209</v>
      </c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</row>
    <row r="125" spans="1:33" ht="14.25" outlineLevel="1">
      <c r="A125"/>
      <c r="B125" s="183" t="s">
        <v>201</v>
      </c>
      <c r="C125" s="121">
        <f aca="true" t="shared" si="32" ref="C125:AG125">+C6-(C7+C10)</f>
        <v>0</v>
      </c>
      <c r="D125" s="121">
        <f t="shared" si="32"/>
        <v>0</v>
      </c>
      <c r="E125" s="121">
        <f t="shared" si="32"/>
        <v>0</v>
      </c>
      <c r="F125" s="121">
        <f t="shared" si="32"/>
        <v>0</v>
      </c>
      <c r="G125" s="121">
        <f t="shared" si="32"/>
        <v>0</v>
      </c>
      <c r="H125" s="121">
        <f t="shared" si="32"/>
        <v>0</v>
      </c>
      <c r="I125" s="121">
        <f t="shared" si="32"/>
        <v>0</v>
      </c>
      <c r="J125" s="121">
        <f t="shared" si="32"/>
        <v>0</v>
      </c>
      <c r="K125" s="121">
        <f t="shared" si="32"/>
        <v>0</v>
      </c>
      <c r="L125" s="121">
        <f t="shared" si="32"/>
        <v>0</v>
      </c>
      <c r="M125" s="121">
        <f t="shared" si="32"/>
        <v>0</v>
      </c>
      <c r="N125" s="121">
        <f t="shared" si="32"/>
        <v>0</v>
      </c>
      <c r="O125" s="121">
        <f t="shared" si="32"/>
        <v>0</v>
      </c>
      <c r="P125" s="121">
        <f t="shared" si="32"/>
        <v>0</v>
      </c>
      <c r="Q125" s="121">
        <f t="shared" si="32"/>
        <v>0</v>
      </c>
      <c r="R125" s="121">
        <f t="shared" si="32"/>
        <v>0</v>
      </c>
      <c r="S125" s="121">
        <f t="shared" si="32"/>
        <v>0</v>
      </c>
      <c r="T125" s="121">
        <f t="shared" si="32"/>
        <v>0</v>
      </c>
      <c r="U125" s="121">
        <f t="shared" si="32"/>
        <v>0</v>
      </c>
      <c r="V125" s="121">
        <f t="shared" si="32"/>
        <v>0</v>
      </c>
      <c r="W125" s="121">
        <f t="shared" si="32"/>
        <v>0</v>
      </c>
      <c r="X125" s="121">
        <f t="shared" si="32"/>
        <v>0</v>
      </c>
      <c r="Y125" s="121">
        <f t="shared" si="32"/>
        <v>0</v>
      </c>
      <c r="Z125" s="121">
        <f t="shared" si="32"/>
        <v>0</v>
      </c>
      <c r="AA125" s="121">
        <f t="shared" si="32"/>
        <v>0</v>
      </c>
      <c r="AB125" s="121">
        <f t="shared" si="32"/>
        <v>0</v>
      </c>
      <c r="AC125" s="121">
        <f t="shared" si="32"/>
        <v>0</v>
      </c>
      <c r="AD125" s="121">
        <f t="shared" si="32"/>
        <v>0</v>
      </c>
      <c r="AE125" s="121">
        <f t="shared" si="32"/>
        <v>0</v>
      </c>
      <c r="AF125" s="121">
        <f t="shared" si="32"/>
        <v>0</v>
      </c>
      <c r="AG125" s="121">
        <f t="shared" si="32"/>
        <v>0</v>
      </c>
    </row>
    <row r="126" spans="1:33" ht="14.25" outlineLevel="1">
      <c r="A126"/>
      <c r="B126" s="182" t="s">
        <v>202</v>
      </c>
      <c r="C126" s="122">
        <f aca="true" t="shared" si="33" ref="C126:AG126">+C14-(C15+C24)</f>
        <v>0</v>
      </c>
      <c r="D126" s="122">
        <f t="shared" si="33"/>
        <v>0</v>
      </c>
      <c r="E126" s="122">
        <f t="shared" si="33"/>
        <v>0</v>
      </c>
      <c r="F126" s="122">
        <f t="shared" si="33"/>
        <v>0</v>
      </c>
      <c r="G126" s="122">
        <f t="shared" si="33"/>
        <v>0</v>
      </c>
      <c r="H126" s="122">
        <f t="shared" si="33"/>
        <v>0</v>
      </c>
      <c r="I126" s="122">
        <f t="shared" si="33"/>
        <v>0</v>
      </c>
      <c r="J126" s="122">
        <f t="shared" si="33"/>
        <v>0</v>
      </c>
      <c r="K126" s="122">
        <f t="shared" si="33"/>
        <v>0</v>
      </c>
      <c r="L126" s="122">
        <f t="shared" si="33"/>
        <v>0</v>
      </c>
      <c r="M126" s="122">
        <f t="shared" si="33"/>
        <v>0</v>
      </c>
      <c r="N126" s="122">
        <f t="shared" si="33"/>
        <v>0</v>
      </c>
      <c r="O126" s="122">
        <f t="shared" si="33"/>
        <v>0</v>
      </c>
      <c r="P126" s="122">
        <f t="shared" si="33"/>
        <v>0</v>
      </c>
      <c r="Q126" s="122">
        <f t="shared" si="33"/>
        <v>0</v>
      </c>
      <c r="R126" s="122">
        <f t="shared" si="33"/>
        <v>0</v>
      </c>
      <c r="S126" s="122">
        <f t="shared" si="33"/>
        <v>0</v>
      </c>
      <c r="T126" s="122">
        <f t="shared" si="33"/>
        <v>0</v>
      </c>
      <c r="U126" s="122">
        <f t="shared" si="33"/>
        <v>0</v>
      </c>
      <c r="V126" s="122">
        <f t="shared" si="33"/>
        <v>0</v>
      </c>
      <c r="W126" s="122">
        <f t="shared" si="33"/>
        <v>0</v>
      </c>
      <c r="X126" s="122">
        <f t="shared" si="33"/>
        <v>0</v>
      </c>
      <c r="Y126" s="122">
        <f t="shared" si="33"/>
        <v>0</v>
      </c>
      <c r="Z126" s="122">
        <f t="shared" si="33"/>
        <v>0</v>
      </c>
      <c r="AA126" s="122">
        <f t="shared" si="33"/>
        <v>0</v>
      </c>
      <c r="AB126" s="122">
        <f t="shared" si="33"/>
        <v>0</v>
      </c>
      <c r="AC126" s="122">
        <f t="shared" si="33"/>
        <v>0</v>
      </c>
      <c r="AD126" s="122">
        <f t="shared" si="33"/>
        <v>0</v>
      </c>
      <c r="AE126" s="122">
        <f t="shared" si="33"/>
        <v>0</v>
      </c>
      <c r="AF126" s="122">
        <f t="shared" si="33"/>
        <v>0</v>
      </c>
      <c r="AG126" s="122">
        <f t="shared" si="33"/>
        <v>0</v>
      </c>
    </row>
    <row r="127" spans="1:33" ht="14.25" outlineLevel="1">
      <c r="A127"/>
      <c r="B127" s="182" t="s">
        <v>203</v>
      </c>
      <c r="C127" s="122">
        <f aca="true" t="shared" si="34" ref="C127:AG127">+C27-(C6-C14)</f>
        <v>0</v>
      </c>
      <c r="D127" s="122">
        <f t="shared" si="34"/>
        <v>0</v>
      </c>
      <c r="E127" s="122">
        <f t="shared" si="34"/>
        <v>0</v>
      </c>
      <c r="F127" s="122">
        <f t="shared" si="34"/>
        <v>0</v>
      </c>
      <c r="G127" s="122">
        <f t="shared" si="34"/>
        <v>0</v>
      </c>
      <c r="H127" s="122">
        <f t="shared" si="34"/>
        <v>0</v>
      </c>
      <c r="I127" s="122">
        <f t="shared" si="34"/>
        <v>0</v>
      </c>
      <c r="J127" s="122">
        <f t="shared" si="34"/>
        <v>0</v>
      </c>
      <c r="K127" s="122">
        <f t="shared" si="34"/>
        <v>0</v>
      </c>
      <c r="L127" s="122">
        <f t="shared" si="34"/>
        <v>0</v>
      </c>
      <c r="M127" s="122">
        <f t="shared" si="34"/>
        <v>0</v>
      </c>
      <c r="N127" s="122">
        <f t="shared" si="34"/>
        <v>0</v>
      </c>
      <c r="O127" s="122">
        <f t="shared" si="34"/>
        <v>0</v>
      </c>
      <c r="P127" s="122">
        <f t="shared" si="34"/>
        <v>0</v>
      </c>
      <c r="Q127" s="122">
        <f t="shared" si="34"/>
        <v>0</v>
      </c>
      <c r="R127" s="122">
        <f t="shared" si="34"/>
        <v>0</v>
      </c>
      <c r="S127" s="122">
        <f t="shared" si="34"/>
        <v>0</v>
      </c>
      <c r="T127" s="122">
        <f t="shared" si="34"/>
        <v>0</v>
      </c>
      <c r="U127" s="122">
        <f t="shared" si="34"/>
        <v>0</v>
      </c>
      <c r="V127" s="122">
        <f t="shared" si="34"/>
        <v>0</v>
      </c>
      <c r="W127" s="122">
        <f t="shared" si="34"/>
        <v>0</v>
      </c>
      <c r="X127" s="122">
        <f t="shared" si="34"/>
        <v>0</v>
      </c>
      <c r="Y127" s="122">
        <f t="shared" si="34"/>
        <v>0</v>
      </c>
      <c r="Z127" s="122">
        <f t="shared" si="34"/>
        <v>0</v>
      </c>
      <c r="AA127" s="122">
        <f t="shared" si="34"/>
        <v>0</v>
      </c>
      <c r="AB127" s="122">
        <f t="shared" si="34"/>
        <v>0</v>
      </c>
      <c r="AC127" s="122">
        <f t="shared" si="34"/>
        <v>0</v>
      </c>
      <c r="AD127" s="122">
        <f t="shared" si="34"/>
        <v>0</v>
      </c>
      <c r="AE127" s="122">
        <f t="shared" si="34"/>
        <v>0</v>
      </c>
      <c r="AF127" s="122">
        <f t="shared" si="34"/>
        <v>0</v>
      </c>
      <c r="AG127" s="122">
        <f t="shared" si="34"/>
        <v>0</v>
      </c>
    </row>
    <row r="128" spans="1:33" ht="14.25" outlineLevel="1">
      <c r="A128"/>
      <c r="B128" s="181" t="s">
        <v>204</v>
      </c>
      <c r="C128" s="180">
        <f aca="true" t="shared" si="35" ref="C128:AG128">+IF(C27&gt;0,C27-C65,0)</f>
        <v>0</v>
      </c>
      <c r="D128" s="180">
        <f t="shared" si="35"/>
        <v>0</v>
      </c>
      <c r="E128" s="180">
        <f t="shared" si="35"/>
        <v>0</v>
      </c>
      <c r="F128" s="180">
        <f t="shared" si="35"/>
        <v>0</v>
      </c>
      <c r="G128" s="180">
        <f t="shared" si="35"/>
        <v>0</v>
      </c>
      <c r="H128" s="180">
        <f t="shared" si="35"/>
        <v>0</v>
      </c>
      <c r="I128" s="180">
        <f t="shared" si="35"/>
        <v>0</v>
      </c>
      <c r="J128" s="180">
        <f t="shared" si="35"/>
        <v>0</v>
      </c>
      <c r="K128" s="180">
        <f t="shared" si="35"/>
        <v>0</v>
      </c>
      <c r="L128" s="180">
        <f t="shared" si="35"/>
        <v>0</v>
      </c>
      <c r="M128" s="180">
        <f t="shared" si="35"/>
        <v>0</v>
      </c>
      <c r="N128" s="180">
        <f t="shared" si="35"/>
        <v>0</v>
      </c>
      <c r="O128" s="180">
        <f t="shared" si="35"/>
        <v>0</v>
      </c>
      <c r="P128" s="180">
        <f t="shared" si="35"/>
        <v>0</v>
      </c>
      <c r="Q128" s="180">
        <f t="shared" si="35"/>
        <v>0</v>
      </c>
      <c r="R128" s="180">
        <f t="shared" si="35"/>
        <v>0</v>
      </c>
      <c r="S128" s="180">
        <f t="shared" si="35"/>
        <v>0</v>
      </c>
      <c r="T128" s="180">
        <f t="shared" si="35"/>
        <v>0</v>
      </c>
      <c r="U128" s="180">
        <f t="shared" si="35"/>
        <v>0</v>
      </c>
      <c r="V128" s="180">
        <f t="shared" si="35"/>
        <v>0</v>
      </c>
      <c r="W128" s="180">
        <f t="shared" si="35"/>
        <v>0</v>
      </c>
      <c r="X128" s="180">
        <f t="shared" si="35"/>
        <v>0</v>
      </c>
      <c r="Y128" s="180">
        <f t="shared" si="35"/>
        <v>0</v>
      </c>
      <c r="Z128" s="180">
        <f t="shared" si="35"/>
        <v>0</v>
      </c>
      <c r="AA128" s="180">
        <f t="shared" si="35"/>
        <v>0</v>
      </c>
      <c r="AB128" s="180">
        <f t="shared" si="35"/>
        <v>0</v>
      </c>
      <c r="AC128" s="180">
        <f t="shared" si="35"/>
        <v>0</v>
      </c>
      <c r="AD128" s="180">
        <f t="shared" si="35"/>
        <v>0</v>
      </c>
      <c r="AE128" s="180">
        <f t="shared" si="35"/>
        <v>0</v>
      </c>
      <c r="AF128" s="180">
        <f t="shared" si="35"/>
        <v>0</v>
      </c>
      <c r="AG128" s="180">
        <f t="shared" si="35"/>
        <v>0</v>
      </c>
    </row>
    <row r="130" ht="15">
      <c r="B130" s="133" t="s">
        <v>222</v>
      </c>
    </row>
    <row r="131" ht="14.25" outlineLevel="1">
      <c r="B131" s="215" t="s">
        <v>233</v>
      </c>
    </row>
    <row r="132" spans="2:33" ht="14.25" outlineLevel="2">
      <c r="B132" s="216">
        <v>0</v>
      </c>
      <c r="C132" s="219" t="str">
        <f>+"różnica mniejsza od "&amp;TEXT(B132*100,"0,0")&amp;"%"</f>
        <v>różnica mniejsza od 0,0%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2:33" ht="14.25" outlineLevel="2">
      <c r="B133" s="217">
        <v>0.005</v>
      </c>
      <c r="C133" s="219" t="str">
        <f>+"różnica mniejsza od "&amp;TEXT(B133*100,"0,0")&amp;"%"</f>
        <v>różnica mniejsza od 0,5%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2:33" ht="14.25" outlineLevel="2">
      <c r="B134" s="218">
        <v>0.01</v>
      </c>
      <c r="C134" s="219" t="str">
        <f>+"różnica mniejsza od "&amp;TEXT(B134*100,"0,0")&amp;"%"</f>
        <v>różnica mniejsza od 1,0%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2:33" ht="14.25" outlineLevel="2">
      <c r="B135" s="267" t="s">
        <v>386</v>
      </c>
      <c r="C135" s="220">
        <f aca="true" t="shared" si="36" ref="C135:AG135">+IF(C6=0,"",C52-C54)</f>
        <v>-0.06600000000000002</v>
      </c>
      <c r="D135" s="220">
        <f t="shared" si="36"/>
        <v>0.027700000000000002</v>
      </c>
      <c r="E135" s="220">
        <f t="shared" si="36"/>
        <v>0.024900000000000005</v>
      </c>
      <c r="F135" s="220">
        <f t="shared" si="36"/>
        <v>0.030699999999999998</v>
      </c>
      <c r="G135" s="220">
        <f t="shared" si="36"/>
        <v>0.0162</v>
      </c>
      <c r="H135" s="220">
        <f t="shared" si="36"/>
        <v>0.0040000000000000036</v>
      </c>
      <c r="I135" s="220">
        <f t="shared" si="36"/>
        <v>0.0002999999999999947</v>
      </c>
      <c r="J135" s="220">
        <f t="shared" si="36"/>
        <v>0.0592</v>
      </c>
      <c r="K135" s="220">
        <f t="shared" si="36"/>
        <v>0.004699999999999996</v>
      </c>
      <c r="L135" s="220">
        <f t="shared" si="36"/>
        <v>0.0349</v>
      </c>
      <c r="M135" s="220">
        <f t="shared" si="36"/>
      </c>
      <c r="N135" s="220">
        <f t="shared" si="36"/>
      </c>
      <c r="O135" s="220">
        <f t="shared" si="36"/>
      </c>
      <c r="P135" s="220">
        <f t="shared" si="36"/>
      </c>
      <c r="Q135" s="220">
        <f t="shared" si="36"/>
      </c>
      <c r="R135" s="220">
        <f t="shared" si="36"/>
      </c>
      <c r="S135" s="220">
        <f t="shared" si="36"/>
      </c>
      <c r="T135" s="220">
        <f t="shared" si="36"/>
      </c>
      <c r="U135" s="220">
        <f t="shared" si="36"/>
      </c>
      <c r="V135" s="220">
        <f t="shared" si="36"/>
      </c>
      <c r="W135" s="220">
        <f t="shared" si="36"/>
      </c>
      <c r="X135" s="220">
        <f t="shared" si="36"/>
      </c>
      <c r="Y135" s="220">
        <f t="shared" si="36"/>
      </c>
      <c r="Z135" s="220">
        <f t="shared" si="36"/>
      </c>
      <c r="AA135" s="220">
        <f t="shared" si="36"/>
      </c>
      <c r="AB135" s="220">
        <f t="shared" si="36"/>
      </c>
      <c r="AC135" s="220">
        <f t="shared" si="36"/>
      </c>
      <c r="AD135" s="220">
        <f t="shared" si="36"/>
      </c>
      <c r="AE135" s="220">
        <f t="shared" si="36"/>
      </c>
      <c r="AF135" s="220">
        <f t="shared" si="36"/>
      </c>
      <c r="AG135" s="220">
        <f t="shared" si="36"/>
      </c>
    </row>
    <row r="136" spans="2:33" ht="14.25" outlineLevel="2">
      <c r="B136" s="268" t="s">
        <v>387</v>
      </c>
      <c r="C136" s="221">
        <f aca="true" t="shared" si="37" ref="C136:AG136">+IF(C6=0,"",C52-C57)</f>
        <v>-0.06600000000000002</v>
      </c>
      <c r="D136" s="221">
        <f t="shared" si="37"/>
        <v>0.027700000000000002</v>
      </c>
      <c r="E136" s="221">
        <f t="shared" si="37"/>
        <v>0.024900000000000005</v>
      </c>
      <c r="F136" s="221">
        <f t="shared" si="37"/>
        <v>0.030699999999999998</v>
      </c>
      <c r="G136" s="221">
        <f t="shared" si="37"/>
        <v>0.0162</v>
      </c>
      <c r="H136" s="221">
        <f t="shared" si="37"/>
        <v>0.0040000000000000036</v>
      </c>
      <c r="I136" s="221">
        <f t="shared" si="37"/>
        <v>0.0002999999999999947</v>
      </c>
      <c r="J136" s="221">
        <f t="shared" si="37"/>
        <v>0.0592</v>
      </c>
      <c r="K136" s="221">
        <f t="shared" si="37"/>
        <v>0.004699999999999996</v>
      </c>
      <c r="L136" s="221">
        <f t="shared" si="37"/>
        <v>0.0349</v>
      </c>
      <c r="M136" s="221">
        <f t="shared" si="37"/>
      </c>
      <c r="N136" s="221">
        <f t="shared" si="37"/>
      </c>
      <c r="O136" s="221">
        <f t="shared" si="37"/>
      </c>
      <c r="P136" s="221">
        <f t="shared" si="37"/>
      </c>
      <c r="Q136" s="221">
        <f t="shared" si="37"/>
      </c>
      <c r="R136" s="221">
        <f t="shared" si="37"/>
      </c>
      <c r="S136" s="221">
        <f t="shared" si="37"/>
      </c>
      <c r="T136" s="221">
        <f t="shared" si="37"/>
      </c>
      <c r="U136" s="221">
        <f t="shared" si="37"/>
      </c>
      <c r="V136" s="221">
        <f t="shared" si="37"/>
      </c>
      <c r="W136" s="221">
        <f t="shared" si="37"/>
      </c>
      <c r="X136" s="221">
        <f t="shared" si="37"/>
      </c>
      <c r="Y136" s="221">
        <f t="shared" si="37"/>
      </c>
      <c r="Z136" s="221">
        <f t="shared" si="37"/>
      </c>
      <c r="AA136" s="221">
        <f t="shared" si="37"/>
      </c>
      <c r="AB136" s="221">
        <f t="shared" si="37"/>
      </c>
      <c r="AC136" s="221">
        <f t="shared" si="37"/>
      </c>
      <c r="AD136" s="221">
        <f t="shared" si="37"/>
      </c>
      <c r="AE136" s="221">
        <f t="shared" si="37"/>
      </c>
      <c r="AF136" s="221">
        <f t="shared" si="37"/>
      </c>
      <c r="AG136" s="221">
        <f t="shared" si="37"/>
      </c>
    </row>
    <row r="137" spans="2:33" ht="14.25" outlineLevel="2">
      <c r="B137" s="269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2:33" ht="14.25" outlineLevel="2">
      <c r="B138" s="267" t="s">
        <v>388</v>
      </c>
      <c r="C138" s="220">
        <f aca="true" t="shared" si="38" ref="C138:AG138">+IF(C6=0,"",C53-C54)</f>
        <v>-0.06600000000000002</v>
      </c>
      <c r="D138" s="220">
        <f t="shared" si="38"/>
        <v>0.027700000000000002</v>
      </c>
      <c r="E138" s="220">
        <f t="shared" si="38"/>
        <v>0.024900000000000005</v>
      </c>
      <c r="F138" s="220">
        <f t="shared" si="38"/>
        <v>0.030699999999999998</v>
      </c>
      <c r="G138" s="220">
        <f t="shared" si="38"/>
        <v>0.0162</v>
      </c>
      <c r="H138" s="220">
        <f t="shared" si="38"/>
        <v>0.0040000000000000036</v>
      </c>
      <c r="I138" s="220">
        <f t="shared" si="38"/>
        <v>0.0002999999999999947</v>
      </c>
      <c r="J138" s="220">
        <f t="shared" si="38"/>
        <v>0.0592</v>
      </c>
      <c r="K138" s="220">
        <f t="shared" si="38"/>
        <v>0.004699999999999996</v>
      </c>
      <c r="L138" s="220">
        <f t="shared" si="38"/>
        <v>0.0349</v>
      </c>
      <c r="M138" s="220">
        <f t="shared" si="38"/>
      </c>
      <c r="N138" s="220">
        <f t="shared" si="38"/>
      </c>
      <c r="O138" s="220">
        <f t="shared" si="38"/>
      </c>
      <c r="P138" s="220">
        <f t="shared" si="38"/>
      </c>
      <c r="Q138" s="220">
        <f t="shared" si="38"/>
      </c>
      <c r="R138" s="220">
        <f t="shared" si="38"/>
      </c>
      <c r="S138" s="220">
        <f t="shared" si="38"/>
      </c>
      <c r="T138" s="220">
        <f t="shared" si="38"/>
      </c>
      <c r="U138" s="220">
        <f t="shared" si="38"/>
      </c>
      <c r="V138" s="220">
        <f t="shared" si="38"/>
      </c>
      <c r="W138" s="220">
        <f t="shared" si="38"/>
      </c>
      <c r="X138" s="220">
        <f t="shared" si="38"/>
      </c>
      <c r="Y138" s="220">
        <f t="shared" si="38"/>
      </c>
      <c r="Z138" s="220">
        <f t="shared" si="38"/>
      </c>
      <c r="AA138" s="220">
        <f t="shared" si="38"/>
      </c>
      <c r="AB138" s="220">
        <f t="shared" si="38"/>
      </c>
      <c r="AC138" s="220">
        <f t="shared" si="38"/>
      </c>
      <c r="AD138" s="220">
        <f t="shared" si="38"/>
      </c>
      <c r="AE138" s="220">
        <f t="shared" si="38"/>
      </c>
      <c r="AF138" s="220">
        <f t="shared" si="38"/>
      </c>
      <c r="AG138" s="220">
        <f t="shared" si="38"/>
      </c>
    </row>
    <row r="139" spans="2:33" ht="14.25" outlineLevel="2">
      <c r="B139" s="268" t="s">
        <v>389</v>
      </c>
      <c r="C139" s="221">
        <f aca="true" t="shared" si="39" ref="C139:AG139">+IF(C6=0,"",C53-C57)</f>
        <v>-0.06600000000000002</v>
      </c>
      <c r="D139" s="221">
        <f t="shared" si="39"/>
        <v>0.027700000000000002</v>
      </c>
      <c r="E139" s="221">
        <f t="shared" si="39"/>
        <v>0.024900000000000005</v>
      </c>
      <c r="F139" s="221">
        <f t="shared" si="39"/>
        <v>0.030699999999999998</v>
      </c>
      <c r="G139" s="221">
        <f t="shared" si="39"/>
        <v>0.0162</v>
      </c>
      <c r="H139" s="221">
        <f t="shared" si="39"/>
        <v>0.0040000000000000036</v>
      </c>
      <c r="I139" s="221">
        <f t="shared" si="39"/>
        <v>0.0002999999999999947</v>
      </c>
      <c r="J139" s="221">
        <f t="shared" si="39"/>
        <v>0.0592</v>
      </c>
      <c r="K139" s="221">
        <f t="shared" si="39"/>
        <v>0.004699999999999996</v>
      </c>
      <c r="L139" s="221">
        <f t="shared" si="39"/>
        <v>0.0349</v>
      </c>
      <c r="M139" s="221">
        <f t="shared" si="39"/>
      </c>
      <c r="N139" s="221">
        <f t="shared" si="39"/>
      </c>
      <c r="O139" s="221">
        <f t="shared" si="39"/>
      </c>
      <c r="P139" s="221">
        <f t="shared" si="39"/>
      </c>
      <c r="Q139" s="221">
        <f t="shared" si="39"/>
      </c>
      <c r="R139" s="221">
        <f t="shared" si="39"/>
      </c>
      <c r="S139" s="221">
        <f t="shared" si="39"/>
      </c>
      <c r="T139" s="221">
        <f t="shared" si="39"/>
      </c>
      <c r="U139" s="221">
        <f t="shared" si="39"/>
      </c>
      <c r="V139" s="221">
        <f t="shared" si="39"/>
      </c>
      <c r="W139" s="221">
        <f t="shared" si="39"/>
      </c>
      <c r="X139" s="221">
        <f t="shared" si="39"/>
      </c>
      <c r="Y139" s="221">
        <f t="shared" si="39"/>
      </c>
      <c r="Z139" s="221">
        <f t="shared" si="39"/>
      </c>
      <c r="AA139" s="221">
        <f t="shared" si="39"/>
      </c>
      <c r="AB139" s="221">
        <f t="shared" si="39"/>
      </c>
      <c r="AC139" s="221">
        <f t="shared" si="39"/>
      </c>
      <c r="AD139" s="221">
        <f t="shared" si="39"/>
      </c>
      <c r="AE139" s="221">
        <f t="shared" si="39"/>
      </c>
      <c r="AF139" s="221">
        <f t="shared" si="39"/>
      </c>
      <c r="AG139" s="221">
        <f t="shared" si="39"/>
      </c>
    </row>
    <row r="140" spans="2:33" ht="14.25" outlineLevel="1">
      <c r="B140" s="281" t="s">
        <v>231</v>
      </c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2:33" ht="14.25" outlineLevel="2">
      <c r="B141" s="270">
        <v>0.05</v>
      </c>
      <c r="C141" s="219" t="str">
        <f>+"zmiana większa niż +/- "&amp;TEXT(B141*100,"0,0")&amp;"%"</f>
        <v>zmiana większa niż +/- 5,0%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2:33" ht="14.25" outlineLevel="2">
      <c r="B142" s="271">
        <v>0.1</v>
      </c>
      <c r="C142" s="219" t="str">
        <f>+"zmiana większa niż +/- "&amp;TEXT(B142*100,"0,0")&amp;"%"</f>
        <v>zmiana większa niż +/- 10,0%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2:33" ht="14.25" outlineLevel="2">
      <c r="B143" s="272">
        <v>0.2</v>
      </c>
      <c r="C143" s="219" t="str">
        <f>+"zmiana większa niż +/- "&amp;TEXT(B143*100,"0,0")&amp;"%"</f>
        <v>zmiana większa niż +/- 20,0%</v>
      </c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2:33" ht="14.25" outlineLevel="2">
      <c r="B144" s="273" t="s">
        <v>58</v>
      </c>
      <c r="C144" s="212" t="s">
        <v>174</v>
      </c>
      <c r="D144" s="222">
        <f aca="true" t="shared" si="40" ref="D144:AG144">+IF(D6=0,0,IF(C180&lt;&gt;0,D180/C180-1,0))</f>
        <v>-0.029034022703809614</v>
      </c>
      <c r="E144" s="222">
        <f t="shared" si="40"/>
        <v>0.010561422870426052</v>
      </c>
      <c r="F144" s="222">
        <f t="shared" si="40"/>
        <v>0.07863513967028002</v>
      </c>
      <c r="G144" s="222">
        <f t="shared" si="40"/>
        <v>-0.029055578996869058</v>
      </c>
      <c r="H144" s="222">
        <f t="shared" si="40"/>
        <v>0.02474216688257047</v>
      </c>
      <c r="I144" s="222">
        <f t="shared" si="40"/>
        <v>0.03295175782980109</v>
      </c>
      <c r="J144" s="222">
        <f t="shared" si="40"/>
        <v>0.007053580026844086</v>
      </c>
      <c r="K144" s="222">
        <f t="shared" si="40"/>
        <v>0.05045888207584892</v>
      </c>
      <c r="L144" s="222">
        <f t="shared" si="40"/>
        <v>0.02999998730403952</v>
      </c>
      <c r="M144" s="222">
        <f t="shared" si="40"/>
        <v>0</v>
      </c>
      <c r="N144" s="222">
        <f t="shared" si="40"/>
        <v>0</v>
      </c>
      <c r="O144" s="222">
        <f t="shared" si="40"/>
        <v>0</v>
      </c>
      <c r="P144" s="222">
        <f t="shared" si="40"/>
        <v>0</v>
      </c>
      <c r="Q144" s="222">
        <f t="shared" si="40"/>
        <v>0</v>
      </c>
      <c r="R144" s="222">
        <f t="shared" si="40"/>
        <v>0</v>
      </c>
      <c r="S144" s="222">
        <f t="shared" si="40"/>
        <v>0</v>
      </c>
      <c r="T144" s="222">
        <f t="shared" si="40"/>
        <v>0</v>
      </c>
      <c r="U144" s="222">
        <f t="shared" si="40"/>
        <v>0</v>
      </c>
      <c r="V144" s="222">
        <f t="shared" si="40"/>
        <v>0</v>
      </c>
      <c r="W144" s="222">
        <f t="shared" si="40"/>
        <v>0</v>
      </c>
      <c r="X144" s="222">
        <f t="shared" si="40"/>
        <v>0</v>
      </c>
      <c r="Y144" s="222">
        <f t="shared" si="40"/>
        <v>0</v>
      </c>
      <c r="Z144" s="222">
        <f t="shared" si="40"/>
        <v>0</v>
      </c>
      <c r="AA144" s="222">
        <f t="shared" si="40"/>
        <v>0</v>
      </c>
      <c r="AB144" s="222">
        <f t="shared" si="40"/>
        <v>0</v>
      </c>
      <c r="AC144" s="222">
        <f t="shared" si="40"/>
        <v>0</v>
      </c>
      <c r="AD144" s="222">
        <f t="shared" si="40"/>
        <v>0</v>
      </c>
      <c r="AE144" s="222">
        <f t="shared" si="40"/>
        <v>0</v>
      </c>
      <c r="AF144" s="222">
        <f t="shared" si="40"/>
        <v>0</v>
      </c>
      <c r="AG144" s="222">
        <f t="shared" si="40"/>
        <v>0</v>
      </c>
    </row>
    <row r="145" spans="2:33" ht="14.25" outlineLevel="2">
      <c r="B145" s="274" t="s">
        <v>220</v>
      </c>
      <c r="C145" s="128" t="s">
        <v>174</v>
      </c>
      <c r="D145" s="223">
        <f aca="true" t="shared" si="41" ref="D145:AG145">+IF(D6=0,0,IF(C181&lt;&gt;0,D181/C181-1,0))</f>
        <v>-0.005231762286885044</v>
      </c>
      <c r="E145" s="223">
        <f t="shared" si="41"/>
        <v>0.021972662628763517</v>
      </c>
      <c r="F145" s="223">
        <f t="shared" si="41"/>
        <v>0.03406297024007965</v>
      </c>
      <c r="G145" s="223">
        <f t="shared" si="41"/>
        <v>0.01354699057084452</v>
      </c>
      <c r="H145" s="223">
        <f t="shared" si="41"/>
        <v>0.04079791605844019</v>
      </c>
      <c r="I145" s="223">
        <f t="shared" si="41"/>
        <v>0.03295175782980109</v>
      </c>
      <c r="J145" s="223">
        <f t="shared" si="41"/>
        <v>0.007053580026844086</v>
      </c>
      <c r="K145" s="223">
        <f t="shared" si="41"/>
        <v>0.05045888207584892</v>
      </c>
      <c r="L145" s="223">
        <f t="shared" si="41"/>
        <v>0.02999998730403952</v>
      </c>
      <c r="M145" s="223">
        <f t="shared" si="41"/>
        <v>0</v>
      </c>
      <c r="N145" s="223">
        <f t="shared" si="41"/>
        <v>0</v>
      </c>
      <c r="O145" s="223">
        <f t="shared" si="41"/>
        <v>0</v>
      </c>
      <c r="P145" s="223">
        <f t="shared" si="41"/>
        <v>0</v>
      </c>
      <c r="Q145" s="223">
        <f t="shared" si="41"/>
        <v>0</v>
      </c>
      <c r="R145" s="223">
        <f t="shared" si="41"/>
        <v>0</v>
      </c>
      <c r="S145" s="223">
        <f t="shared" si="41"/>
        <v>0</v>
      </c>
      <c r="T145" s="223">
        <f t="shared" si="41"/>
        <v>0</v>
      </c>
      <c r="U145" s="223">
        <f t="shared" si="41"/>
        <v>0</v>
      </c>
      <c r="V145" s="223">
        <f t="shared" si="41"/>
        <v>0</v>
      </c>
      <c r="W145" s="223">
        <f t="shared" si="41"/>
        <v>0</v>
      </c>
      <c r="X145" s="223">
        <f t="shared" si="41"/>
        <v>0</v>
      </c>
      <c r="Y145" s="223">
        <f t="shared" si="41"/>
        <v>0</v>
      </c>
      <c r="Z145" s="223">
        <f t="shared" si="41"/>
        <v>0</v>
      </c>
      <c r="AA145" s="223">
        <f t="shared" si="41"/>
        <v>0</v>
      </c>
      <c r="AB145" s="223">
        <f t="shared" si="41"/>
        <v>0</v>
      </c>
      <c r="AC145" s="223">
        <f t="shared" si="41"/>
        <v>0</v>
      </c>
      <c r="AD145" s="223">
        <f t="shared" si="41"/>
        <v>0</v>
      </c>
      <c r="AE145" s="223">
        <f t="shared" si="41"/>
        <v>0</v>
      </c>
      <c r="AF145" s="223">
        <f t="shared" si="41"/>
        <v>0</v>
      </c>
      <c r="AG145" s="223">
        <f t="shared" si="41"/>
        <v>0</v>
      </c>
    </row>
    <row r="146" spans="2:33" ht="14.25" outlineLevel="2">
      <c r="B146" s="275" t="s">
        <v>219</v>
      </c>
      <c r="C146" s="128" t="s">
        <v>174</v>
      </c>
      <c r="D146" s="223">
        <f aca="true" t="shared" si="42" ref="D146:AG146">+IF(D6=0,0,IF(C182&lt;&gt;0,D182/C182-1,0))</f>
        <v>0.0029760692650888654</v>
      </c>
      <c r="E146" s="223">
        <f t="shared" si="42"/>
        <v>0.021972662628763517</v>
      </c>
      <c r="F146" s="223">
        <f t="shared" si="42"/>
        <v>0.03406297024007965</v>
      </c>
      <c r="G146" s="223">
        <f t="shared" si="42"/>
        <v>0.01354699057084452</v>
      </c>
      <c r="H146" s="223">
        <f t="shared" si="42"/>
        <v>0.04079791605844019</v>
      </c>
      <c r="I146" s="223">
        <f t="shared" si="42"/>
        <v>0.03295175782980109</v>
      </c>
      <c r="J146" s="223">
        <f t="shared" si="42"/>
        <v>0.007053580026844086</v>
      </c>
      <c r="K146" s="223">
        <f t="shared" si="42"/>
        <v>0.05045888207584892</v>
      </c>
      <c r="L146" s="223">
        <f t="shared" si="42"/>
        <v>0.02999998730403952</v>
      </c>
      <c r="M146" s="223">
        <f t="shared" si="42"/>
        <v>0</v>
      </c>
      <c r="N146" s="223">
        <f t="shared" si="42"/>
        <v>0</v>
      </c>
      <c r="O146" s="223">
        <f t="shared" si="42"/>
        <v>0</v>
      </c>
      <c r="P146" s="223">
        <f t="shared" si="42"/>
        <v>0</v>
      </c>
      <c r="Q146" s="223">
        <f t="shared" si="42"/>
        <v>0</v>
      </c>
      <c r="R146" s="223">
        <f t="shared" si="42"/>
        <v>0</v>
      </c>
      <c r="S146" s="223">
        <f t="shared" si="42"/>
        <v>0</v>
      </c>
      <c r="T146" s="223">
        <f t="shared" si="42"/>
        <v>0</v>
      </c>
      <c r="U146" s="223">
        <f t="shared" si="42"/>
        <v>0</v>
      </c>
      <c r="V146" s="223">
        <f t="shared" si="42"/>
        <v>0</v>
      </c>
      <c r="W146" s="223">
        <f t="shared" si="42"/>
        <v>0</v>
      </c>
      <c r="X146" s="223">
        <f t="shared" si="42"/>
        <v>0</v>
      </c>
      <c r="Y146" s="223">
        <f t="shared" si="42"/>
        <v>0</v>
      </c>
      <c r="Z146" s="223">
        <f t="shared" si="42"/>
        <v>0</v>
      </c>
      <c r="AA146" s="223">
        <f t="shared" si="42"/>
        <v>0</v>
      </c>
      <c r="AB146" s="223">
        <f t="shared" si="42"/>
        <v>0</v>
      </c>
      <c r="AC146" s="223">
        <f t="shared" si="42"/>
        <v>0</v>
      </c>
      <c r="AD146" s="223">
        <f t="shared" si="42"/>
        <v>0</v>
      </c>
      <c r="AE146" s="223">
        <f t="shared" si="42"/>
        <v>0</v>
      </c>
      <c r="AF146" s="223">
        <f t="shared" si="42"/>
        <v>0</v>
      </c>
      <c r="AG146" s="223">
        <f t="shared" si="42"/>
        <v>0</v>
      </c>
    </row>
    <row r="147" spans="2:33" ht="14.25" outlineLevel="2">
      <c r="B147" s="275" t="s">
        <v>226</v>
      </c>
      <c r="C147" s="128" t="s">
        <v>174</v>
      </c>
      <c r="D147" s="223">
        <f aca="true" t="shared" si="43" ref="D147:AG147">+IF(D6=0,0,IF(C183&lt;&gt;0,D183/C183-1,0))</f>
        <v>-1</v>
      </c>
      <c r="E147" s="223">
        <f t="shared" si="43"/>
        <v>0</v>
      </c>
      <c r="F147" s="223">
        <f t="shared" si="43"/>
        <v>0</v>
      </c>
      <c r="G147" s="223">
        <f t="shared" si="43"/>
        <v>0</v>
      </c>
      <c r="H147" s="223">
        <f t="shared" si="43"/>
        <v>0</v>
      </c>
      <c r="I147" s="223">
        <f t="shared" si="43"/>
        <v>0</v>
      </c>
      <c r="J147" s="223">
        <f t="shared" si="43"/>
        <v>0</v>
      </c>
      <c r="K147" s="223">
        <f t="shared" si="43"/>
        <v>0</v>
      </c>
      <c r="L147" s="223">
        <f t="shared" si="43"/>
        <v>0</v>
      </c>
      <c r="M147" s="223">
        <f t="shared" si="43"/>
        <v>0</v>
      </c>
      <c r="N147" s="223">
        <f t="shared" si="43"/>
        <v>0</v>
      </c>
      <c r="O147" s="223">
        <f t="shared" si="43"/>
        <v>0</v>
      </c>
      <c r="P147" s="223">
        <f t="shared" si="43"/>
        <v>0</v>
      </c>
      <c r="Q147" s="223">
        <f t="shared" si="43"/>
        <v>0</v>
      </c>
      <c r="R147" s="223">
        <f t="shared" si="43"/>
        <v>0</v>
      </c>
      <c r="S147" s="223">
        <f t="shared" si="43"/>
        <v>0</v>
      </c>
      <c r="T147" s="223">
        <f t="shared" si="43"/>
        <v>0</v>
      </c>
      <c r="U147" s="223">
        <f t="shared" si="43"/>
        <v>0</v>
      </c>
      <c r="V147" s="223">
        <f t="shared" si="43"/>
        <v>0</v>
      </c>
      <c r="W147" s="223">
        <f t="shared" si="43"/>
        <v>0</v>
      </c>
      <c r="X147" s="223">
        <f t="shared" si="43"/>
        <v>0</v>
      </c>
      <c r="Y147" s="223">
        <f t="shared" si="43"/>
        <v>0</v>
      </c>
      <c r="Z147" s="223">
        <f t="shared" si="43"/>
        <v>0</v>
      </c>
      <c r="AA147" s="223">
        <f t="shared" si="43"/>
        <v>0</v>
      </c>
      <c r="AB147" s="223">
        <f t="shared" si="43"/>
        <v>0</v>
      </c>
      <c r="AC147" s="223">
        <f t="shared" si="43"/>
        <v>0</v>
      </c>
      <c r="AD147" s="223">
        <f t="shared" si="43"/>
        <v>0</v>
      </c>
      <c r="AE147" s="223">
        <f t="shared" si="43"/>
        <v>0</v>
      </c>
      <c r="AF147" s="223">
        <f t="shared" si="43"/>
        <v>0</v>
      </c>
      <c r="AG147" s="223">
        <f t="shared" si="43"/>
        <v>0</v>
      </c>
    </row>
    <row r="148" spans="2:33" ht="24" outlineLevel="2">
      <c r="B148" s="275" t="s">
        <v>242</v>
      </c>
      <c r="C148" s="128" t="s">
        <v>174</v>
      </c>
      <c r="D148" s="223">
        <f aca="true" t="shared" si="44" ref="D148:AG148">+IF(D6=0,0,IF(C184&lt;&gt;0,D184/C184-1,0))</f>
        <v>-1</v>
      </c>
      <c r="E148" s="223">
        <f t="shared" si="44"/>
        <v>0</v>
      </c>
      <c r="F148" s="223">
        <f t="shared" si="44"/>
        <v>0</v>
      </c>
      <c r="G148" s="223">
        <f t="shared" si="44"/>
        <v>0</v>
      </c>
      <c r="H148" s="223">
        <f t="shared" si="44"/>
        <v>0</v>
      </c>
      <c r="I148" s="223">
        <f t="shared" si="44"/>
        <v>0</v>
      </c>
      <c r="J148" s="223">
        <f t="shared" si="44"/>
        <v>0</v>
      </c>
      <c r="K148" s="223">
        <f t="shared" si="44"/>
        <v>0</v>
      </c>
      <c r="L148" s="223">
        <f t="shared" si="44"/>
        <v>0</v>
      </c>
      <c r="M148" s="223">
        <f t="shared" si="44"/>
        <v>0</v>
      </c>
      <c r="N148" s="223">
        <f t="shared" si="44"/>
        <v>0</v>
      </c>
      <c r="O148" s="223">
        <f t="shared" si="44"/>
        <v>0</v>
      </c>
      <c r="P148" s="223">
        <f t="shared" si="44"/>
        <v>0</v>
      </c>
      <c r="Q148" s="223">
        <f t="shared" si="44"/>
        <v>0</v>
      </c>
      <c r="R148" s="223">
        <f t="shared" si="44"/>
        <v>0</v>
      </c>
      <c r="S148" s="223">
        <f t="shared" si="44"/>
        <v>0</v>
      </c>
      <c r="T148" s="223">
        <f t="shared" si="44"/>
        <v>0</v>
      </c>
      <c r="U148" s="223">
        <f t="shared" si="44"/>
        <v>0</v>
      </c>
      <c r="V148" s="223">
        <f t="shared" si="44"/>
        <v>0</v>
      </c>
      <c r="W148" s="223">
        <f t="shared" si="44"/>
        <v>0</v>
      </c>
      <c r="X148" s="223">
        <f t="shared" si="44"/>
        <v>0</v>
      </c>
      <c r="Y148" s="223">
        <f t="shared" si="44"/>
        <v>0</v>
      </c>
      <c r="Z148" s="223">
        <f t="shared" si="44"/>
        <v>0</v>
      </c>
      <c r="AA148" s="223">
        <f t="shared" si="44"/>
        <v>0</v>
      </c>
      <c r="AB148" s="223">
        <f t="shared" si="44"/>
        <v>0</v>
      </c>
      <c r="AC148" s="223">
        <f t="shared" si="44"/>
        <v>0</v>
      </c>
      <c r="AD148" s="223">
        <f t="shared" si="44"/>
        <v>0</v>
      </c>
      <c r="AE148" s="223">
        <f t="shared" si="44"/>
        <v>0</v>
      </c>
      <c r="AF148" s="223">
        <f t="shared" si="44"/>
        <v>0</v>
      </c>
      <c r="AG148" s="223">
        <f t="shared" si="44"/>
        <v>0</v>
      </c>
    </row>
    <row r="149" spans="2:33" ht="14.25" outlineLevel="2">
      <c r="B149" s="276" t="s">
        <v>227</v>
      </c>
      <c r="C149" s="214" t="s">
        <v>174</v>
      </c>
      <c r="D149" s="224">
        <f aca="true" t="shared" si="45" ref="D149:AG149">+IF(D6=0,0,IF(C185&lt;&gt;0,D185/C185-1,0))</f>
        <v>0</v>
      </c>
      <c r="E149" s="224">
        <f t="shared" si="45"/>
        <v>0</v>
      </c>
      <c r="F149" s="224">
        <f t="shared" si="45"/>
        <v>0</v>
      </c>
      <c r="G149" s="224">
        <f t="shared" si="45"/>
        <v>0</v>
      </c>
      <c r="H149" s="224">
        <f t="shared" si="45"/>
        <v>0</v>
      </c>
      <c r="I149" s="224">
        <f t="shared" si="45"/>
        <v>0</v>
      </c>
      <c r="J149" s="224">
        <f t="shared" si="45"/>
        <v>0</v>
      </c>
      <c r="K149" s="224">
        <f t="shared" si="45"/>
        <v>0</v>
      </c>
      <c r="L149" s="224">
        <f t="shared" si="45"/>
        <v>0</v>
      </c>
      <c r="M149" s="224">
        <f t="shared" si="45"/>
        <v>0</v>
      </c>
      <c r="N149" s="224">
        <f t="shared" si="45"/>
        <v>0</v>
      </c>
      <c r="O149" s="224">
        <f t="shared" si="45"/>
        <v>0</v>
      </c>
      <c r="P149" s="224">
        <f t="shared" si="45"/>
        <v>0</v>
      </c>
      <c r="Q149" s="224">
        <f t="shared" si="45"/>
        <v>0</v>
      </c>
      <c r="R149" s="224">
        <f t="shared" si="45"/>
        <v>0</v>
      </c>
      <c r="S149" s="224">
        <f t="shared" si="45"/>
        <v>0</v>
      </c>
      <c r="T149" s="224">
        <f t="shared" si="45"/>
        <v>0</v>
      </c>
      <c r="U149" s="224">
        <f t="shared" si="45"/>
        <v>0</v>
      </c>
      <c r="V149" s="224">
        <f t="shared" si="45"/>
        <v>0</v>
      </c>
      <c r="W149" s="224">
        <f t="shared" si="45"/>
        <v>0</v>
      </c>
      <c r="X149" s="224">
        <f t="shared" si="45"/>
        <v>0</v>
      </c>
      <c r="Y149" s="224">
        <f t="shared" si="45"/>
        <v>0</v>
      </c>
      <c r="Z149" s="224">
        <f t="shared" si="45"/>
        <v>0</v>
      </c>
      <c r="AA149" s="224">
        <f t="shared" si="45"/>
        <v>0</v>
      </c>
      <c r="AB149" s="224">
        <f t="shared" si="45"/>
        <v>0</v>
      </c>
      <c r="AC149" s="224">
        <f t="shared" si="45"/>
        <v>0</v>
      </c>
      <c r="AD149" s="224">
        <f t="shared" si="45"/>
        <v>0</v>
      </c>
      <c r="AE149" s="224">
        <f t="shared" si="45"/>
        <v>0</v>
      </c>
      <c r="AF149" s="224">
        <f t="shared" si="45"/>
        <v>0</v>
      </c>
      <c r="AG149" s="224">
        <f t="shared" si="45"/>
        <v>0</v>
      </c>
    </row>
    <row r="150" spans="2:33" ht="14.25" outlineLevel="2">
      <c r="B150" s="273" t="s">
        <v>45</v>
      </c>
      <c r="C150" s="212" t="s">
        <v>174</v>
      </c>
      <c r="D150" s="222">
        <f aca="true" t="shared" si="46" ref="D150:AG150">+IF(D6=0,0,IF(C186&lt;&gt;0,D186/C186-1,0))</f>
        <v>-0.021498864218185254</v>
      </c>
      <c r="E150" s="222">
        <f t="shared" si="46"/>
        <v>0.00950243006639373</v>
      </c>
      <c r="F150" s="222">
        <f t="shared" si="46"/>
        <v>0.07880553888675346</v>
      </c>
      <c r="G150" s="222">
        <f t="shared" si="46"/>
        <v>-0.0667940465452157</v>
      </c>
      <c r="H150" s="222">
        <f t="shared" si="46"/>
        <v>0.01791677874310782</v>
      </c>
      <c r="I150" s="222">
        <f t="shared" si="46"/>
        <v>0.01930414354723098</v>
      </c>
      <c r="J150" s="222">
        <f t="shared" si="46"/>
        <v>0.06750241284490777</v>
      </c>
      <c r="K150" s="222">
        <f t="shared" si="46"/>
        <v>-0.00829943358367724</v>
      </c>
      <c r="L150" s="222">
        <f t="shared" si="46"/>
        <v>0.057571932698136985</v>
      </c>
      <c r="M150" s="222">
        <f t="shared" si="46"/>
        <v>0</v>
      </c>
      <c r="N150" s="222">
        <f t="shared" si="46"/>
        <v>0</v>
      </c>
      <c r="O150" s="222">
        <f t="shared" si="46"/>
        <v>0</v>
      </c>
      <c r="P150" s="222">
        <f t="shared" si="46"/>
        <v>0</v>
      </c>
      <c r="Q150" s="222">
        <f t="shared" si="46"/>
        <v>0</v>
      </c>
      <c r="R150" s="222">
        <f t="shared" si="46"/>
        <v>0</v>
      </c>
      <c r="S150" s="222">
        <f t="shared" si="46"/>
        <v>0</v>
      </c>
      <c r="T150" s="222">
        <f t="shared" si="46"/>
        <v>0</v>
      </c>
      <c r="U150" s="222">
        <f t="shared" si="46"/>
        <v>0</v>
      </c>
      <c r="V150" s="222">
        <f t="shared" si="46"/>
        <v>0</v>
      </c>
      <c r="W150" s="222">
        <f t="shared" si="46"/>
        <v>0</v>
      </c>
      <c r="X150" s="222">
        <f t="shared" si="46"/>
        <v>0</v>
      </c>
      <c r="Y150" s="222">
        <f t="shared" si="46"/>
        <v>0</v>
      </c>
      <c r="Z150" s="222">
        <f t="shared" si="46"/>
        <v>0</v>
      </c>
      <c r="AA150" s="222">
        <f t="shared" si="46"/>
        <v>0</v>
      </c>
      <c r="AB150" s="222">
        <f t="shared" si="46"/>
        <v>0</v>
      </c>
      <c r="AC150" s="222">
        <f t="shared" si="46"/>
        <v>0</v>
      </c>
      <c r="AD150" s="222">
        <f t="shared" si="46"/>
        <v>0</v>
      </c>
      <c r="AE150" s="222">
        <f t="shared" si="46"/>
        <v>0</v>
      </c>
      <c r="AF150" s="222">
        <f t="shared" si="46"/>
        <v>0</v>
      </c>
      <c r="AG150" s="222">
        <f t="shared" si="46"/>
        <v>0</v>
      </c>
    </row>
    <row r="151" spans="2:33" ht="24" outlineLevel="2">
      <c r="B151" s="277" t="s">
        <v>221</v>
      </c>
      <c r="C151" s="128" t="s">
        <v>174</v>
      </c>
      <c r="D151" s="223">
        <f aca="true" t="shared" si="47" ref="D151:AG151">+IF(D6=0,0,IF(C187&lt;&gt;0,D187/C187-1,0))</f>
        <v>-0.03038860171228519</v>
      </c>
      <c r="E151" s="223">
        <f t="shared" si="47"/>
        <v>0.050292867263288965</v>
      </c>
      <c r="F151" s="223">
        <f t="shared" si="47"/>
        <v>0.016267249960807195</v>
      </c>
      <c r="G151" s="223">
        <f t="shared" si="47"/>
        <v>0.029073031004382965</v>
      </c>
      <c r="H151" s="223">
        <f t="shared" si="47"/>
        <v>0.05143810852321162</v>
      </c>
      <c r="I151" s="223">
        <f t="shared" si="47"/>
        <v>0.01930414354723098</v>
      </c>
      <c r="J151" s="223">
        <f t="shared" si="47"/>
        <v>0.06750241284490777</v>
      </c>
      <c r="K151" s="223">
        <f t="shared" si="47"/>
        <v>-0.00829943358367724</v>
      </c>
      <c r="L151" s="223">
        <f t="shared" si="47"/>
        <v>0.057571932698136985</v>
      </c>
      <c r="M151" s="223">
        <f t="shared" si="47"/>
        <v>0</v>
      </c>
      <c r="N151" s="223">
        <f t="shared" si="47"/>
        <v>0</v>
      </c>
      <c r="O151" s="223">
        <f t="shared" si="47"/>
        <v>0</v>
      </c>
      <c r="P151" s="223">
        <f t="shared" si="47"/>
        <v>0</v>
      </c>
      <c r="Q151" s="223">
        <f t="shared" si="47"/>
        <v>0</v>
      </c>
      <c r="R151" s="223">
        <f t="shared" si="47"/>
        <v>0</v>
      </c>
      <c r="S151" s="223">
        <f t="shared" si="47"/>
        <v>0</v>
      </c>
      <c r="T151" s="223">
        <f t="shared" si="47"/>
        <v>0</v>
      </c>
      <c r="U151" s="223">
        <f t="shared" si="47"/>
        <v>0</v>
      </c>
      <c r="V151" s="223">
        <f t="shared" si="47"/>
        <v>0</v>
      </c>
      <c r="W151" s="223">
        <f t="shared" si="47"/>
        <v>0</v>
      </c>
      <c r="X151" s="223">
        <f t="shared" si="47"/>
        <v>0</v>
      </c>
      <c r="Y151" s="223">
        <f t="shared" si="47"/>
        <v>0</v>
      </c>
      <c r="Z151" s="223">
        <f t="shared" si="47"/>
        <v>0</v>
      </c>
      <c r="AA151" s="223">
        <f t="shared" si="47"/>
        <v>0</v>
      </c>
      <c r="AB151" s="223">
        <f t="shared" si="47"/>
        <v>0</v>
      </c>
      <c r="AC151" s="223">
        <f t="shared" si="47"/>
        <v>0</v>
      </c>
      <c r="AD151" s="223">
        <f t="shared" si="47"/>
        <v>0</v>
      </c>
      <c r="AE151" s="223">
        <f t="shared" si="47"/>
        <v>0</v>
      </c>
      <c r="AF151" s="223">
        <f t="shared" si="47"/>
        <v>0</v>
      </c>
      <c r="AG151" s="223">
        <f t="shared" si="47"/>
        <v>0</v>
      </c>
    </row>
    <row r="152" spans="2:33" ht="14.25" outlineLevel="2">
      <c r="B152" s="278" t="s">
        <v>228</v>
      </c>
      <c r="C152" s="128" t="s">
        <v>174</v>
      </c>
      <c r="D152" s="223">
        <f aca="true" t="shared" si="48" ref="D152:AG152">+IF(D6=0,0,IF(C188&lt;&gt;0,D188/C188-1,0))</f>
        <v>0.026786527891971446</v>
      </c>
      <c r="E152" s="223">
        <f t="shared" si="48"/>
        <v>0.05006090575792754</v>
      </c>
      <c r="F152" s="223">
        <f t="shared" si="48"/>
        <v>0.016267249960807195</v>
      </c>
      <c r="G152" s="223">
        <f t="shared" si="48"/>
        <v>0.029073031004382965</v>
      </c>
      <c r="H152" s="223">
        <f t="shared" si="48"/>
        <v>0.02817293059091508</v>
      </c>
      <c r="I152" s="223">
        <f t="shared" si="48"/>
        <v>0.015391323233770349</v>
      </c>
      <c r="J152" s="223">
        <f t="shared" si="48"/>
        <v>0.04507740465823118</v>
      </c>
      <c r="K152" s="223">
        <f t="shared" si="48"/>
        <v>0.012841433436393768</v>
      </c>
      <c r="L152" s="223">
        <f t="shared" si="48"/>
        <v>0.022999986709103082</v>
      </c>
      <c r="M152" s="223">
        <f t="shared" si="48"/>
        <v>0</v>
      </c>
      <c r="N152" s="223">
        <f t="shared" si="48"/>
        <v>0</v>
      </c>
      <c r="O152" s="223">
        <f t="shared" si="48"/>
        <v>0</v>
      </c>
      <c r="P152" s="223">
        <f t="shared" si="48"/>
        <v>0</v>
      </c>
      <c r="Q152" s="223">
        <f t="shared" si="48"/>
        <v>0</v>
      </c>
      <c r="R152" s="223">
        <f t="shared" si="48"/>
        <v>0</v>
      </c>
      <c r="S152" s="223">
        <f t="shared" si="48"/>
        <v>0</v>
      </c>
      <c r="T152" s="223">
        <f t="shared" si="48"/>
        <v>0</v>
      </c>
      <c r="U152" s="223">
        <f t="shared" si="48"/>
        <v>0</v>
      </c>
      <c r="V152" s="223">
        <f t="shared" si="48"/>
        <v>0</v>
      </c>
      <c r="W152" s="223">
        <f t="shared" si="48"/>
        <v>0</v>
      </c>
      <c r="X152" s="223">
        <f t="shared" si="48"/>
        <v>0</v>
      </c>
      <c r="Y152" s="223">
        <f t="shared" si="48"/>
        <v>0</v>
      </c>
      <c r="Z152" s="223">
        <f t="shared" si="48"/>
        <v>0</v>
      </c>
      <c r="AA152" s="223">
        <f t="shared" si="48"/>
        <v>0</v>
      </c>
      <c r="AB152" s="223">
        <f t="shared" si="48"/>
        <v>0</v>
      </c>
      <c r="AC152" s="223">
        <f t="shared" si="48"/>
        <v>0</v>
      </c>
      <c r="AD152" s="223">
        <f t="shared" si="48"/>
        <v>0</v>
      </c>
      <c r="AE152" s="223">
        <f t="shared" si="48"/>
        <v>0</v>
      </c>
      <c r="AF152" s="223">
        <f t="shared" si="48"/>
        <v>0</v>
      </c>
      <c r="AG152" s="223">
        <f t="shared" si="48"/>
        <v>0</v>
      </c>
    </row>
    <row r="153" spans="2:33" ht="24" outlineLevel="2">
      <c r="B153" s="275" t="s">
        <v>230</v>
      </c>
      <c r="C153" s="128" t="s">
        <v>174</v>
      </c>
      <c r="D153" s="223">
        <f aca="true" t="shared" si="49" ref="D153:AG153">+IF(D6=0,0,IF(C189&lt;&gt;0,D189/C189-1,0))</f>
        <v>0.02660288942941169</v>
      </c>
      <c r="E153" s="223">
        <f t="shared" si="49"/>
        <v>0.05771113864306665</v>
      </c>
      <c r="F153" s="223">
        <f t="shared" si="49"/>
        <v>0.016267249960807195</v>
      </c>
      <c r="G153" s="223">
        <f t="shared" si="49"/>
        <v>0.029073031004382965</v>
      </c>
      <c r="H153" s="223">
        <f t="shared" si="49"/>
        <v>0.02817293059091508</v>
      </c>
      <c r="I153" s="223">
        <f t="shared" si="49"/>
        <v>0.015391323233770349</v>
      </c>
      <c r="J153" s="223">
        <f t="shared" si="49"/>
        <v>0.04507740465823118</v>
      </c>
      <c r="K153" s="223">
        <f t="shared" si="49"/>
        <v>0.012841433436393768</v>
      </c>
      <c r="L153" s="223">
        <f t="shared" si="49"/>
        <v>0.022999986709103082</v>
      </c>
      <c r="M153" s="223">
        <f t="shared" si="49"/>
        <v>0</v>
      </c>
      <c r="N153" s="223">
        <f t="shared" si="49"/>
        <v>0</v>
      </c>
      <c r="O153" s="223">
        <f t="shared" si="49"/>
        <v>0</v>
      </c>
      <c r="P153" s="223">
        <f t="shared" si="49"/>
        <v>0</v>
      </c>
      <c r="Q153" s="223">
        <f t="shared" si="49"/>
        <v>0</v>
      </c>
      <c r="R153" s="223">
        <f t="shared" si="49"/>
        <v>0</v>
      </c>
      <c r="S153" s="223">
        <f t="shared" si="49"/>
        <v>0</v>
      </c>
      <c r="T153" s="223">
        <f t="shared" si="49"/>
        <v>0</v>
      </c>
      <c r="U153" s="223">
        <f t="shared" si="49"/>
        <v>0</v>
      </c>
      <c r="V153" s="223">
        <f t="shared" si="49"/>
        <v>0</v>
      </c>
      <c r="W153" s="223">
        <f t="shared" si="49"/>
        <v>0</v>
      </c>
      <c r="X153" s="223">
        <f t="shared" si="49"/>
        <v>0</v>
      </c>
      <c r="Y153" s="223">
        <f t="shared" si="49"/>
        <v>0</v>
      </c>
      <c r="Z153" s="223">
        <f t="shared" si="49"/>
        <v>0</v>
      </c>
      <c r="AA153" s="223">
        <f t="shared" si="49"/>
        <v>0</v>
      </c>
      <c r="AB153" s="223">
        <f t="shared" si="49"/>
        <v>0</v>
      </c>
      <c r="AC153" s="223">
        <f t="shared" si="49"/>
        <v>0</v>
      </c>
      <c r="AD153" s="223">
        <f t="shared" si="49"/>
        <v>0</v>
      </c>
      <c r="AE153" s="223">
        <f t="shared" si="49"/>
        <v>0</v>
      </c>
      <c r="AF153" s="223">
        <f t="shared" si="49"/>
        <v>0</v>
      </c>
      <c r="AG153" s="223">
        <f t="shared" si="49"/>
        <v>0</v>
      </c>
    </row>
    <row r="154" spans="2:33" ht="14.25" outlineLevel="2">
      <c r="B154" s="275" t="s">
        <v>229</v>
      </c>
      <c r="C154" s="128" t="s">
        <v>174</v>
      </c>
      <c r="D154" s="223">
        <f aca="true" t="shared" si="50" ref="D154:AG154">+IF(D6=0,0,IF(C190&lt;&gt;0,D190/C190-1,0))</f>
        <v>0.042343255242665245</v>
      </c>
      <c r="E154" s="223">
        <f t="shared" si="50"/>
        <v>0.026999970016261976</v>
      </c>
      <c r="F154" s="223">
        <f t="shared" si="50"/>
        <v>0.02699997525277409</v>
      </c>
      <c r="G154" s="223">
        <f t="shared" si="50"/>
        <v>0.02700004672913736</v>
      </c>
      <c r="H154" s="223">
        <f t="shared" si="50"/>
        <v>0.025999980041504278</v>
      </c>
      <c r="I154" s="223">
        <f t="shared" si="50"/>
        <v>0.02600001482112413</v>
      </c>
      <c r="J154" s="223">
        <f t="shared" si="50"/>
        <v>0.018031983666608742</v>
      </c>
      <c r="K154" s="223">
        <f t="shared" si="50"/>
        <v>0.023000017016520546</v>
      </c>
      <c r="L154" s="223">
        <f t="shared" si="50"/>
        <v>0.022999970579057782</v>
      </c>
      <c r="M154" s="223">
        <f t="shared" si="50"/>
        <v>0</v>
      </c>
      <c r="N154" s="223">
        <f t="shared" si="50"/>
        <v>0</v>
      </c>
      <c r="O154" s="223">
        <f t="shared" si="50"/>
        <v>0</v>
      </c>
      <c r="P154" s="223">
        <f t="shared" si="50"/>
        <v>0</v>
      </c>
      <c r="Q154" s="223">
        <f t="shared" si="50"/>
        <v>0</v>
      </c>
      <c r="R154" s="223">
        <f t="shared" si="50"/>
        <v>0</v>
      </c>
      <c r="S154" s="223">
        <f t="shared" si="50"/>
        <v>0</v>
      </c>
      <c r="T154" s="223">
        <f t="shared" si="50"/>
        <v>0</v>
      </c>
      <c r="U154" s="223">
        <f t="shared" si="50"/>
        <v>0</v>
      </c>
      <c r="V154" s="223">
        <f t="shared" si="50"/>
        <v>0</v>
      </c>
      <c r="W154" s="223">
        <f t="shared" si="50"/>
        <v>0</v>
      </c>
      <c r="X154" s="223">
        <f t="shared" si="50"/>
        <v>0</v>
      </c>
      <c r="Y154" s="223">
        <f t="shared" si="50"/>
        <v>0</v>
      </c>
      <c r="Z154" s="223">
        <f t="shared" si="50"/>
        <v>0</v>
      </c>
      <c r="AA154" s="223">
        <f t="shared" si="50"/>
        <v>0</v>
      </c>
      <c r="AB154" s="223">
        <f t="shared" si="50"/>
        <v>0</v>
      </c>
      <c r="AC154" s="223">
        <f t="shared" si="50"/>
        <v>0</v>
      </c>
      <c r="AD154" s="223">
        <f t="shared" si="50"/>
        <v>0</v>
      </c>
      <c r="AE154" s="223">
        <f t="shared" si="50"/>
        <v>0</v>
      </c>
      <c r="AF154" s="223">
        <f t="shared" si="50"/>
        <v>0</v>
      </c>
      <c r="AG154" s="223">
        <f t="shared" si="50"/>
        <v>0</v>
      </c>
    </row>
    <row r="155" spans="2:33" ht="24" outlineLevel="2">
      <c r="B155" s="276" t="s">
        <v>240</v>
      </c>
      <c r="C155" s="213" t="s">
        <v>174</v>
      </c>
      <c r="D155" s="225">
        <f aca="true" t="shared" si="51" ref="D155:D160">+IF(D$6=0,0,IF(C191&lt;&gt;0,D191/C191-1,0))</f>
        <v>0.01860200959028835</v>
      </c>
      <c r="E155" s="225">
        <f aca="true" t="shared" si="52" ref="E155:AG155">+IF(E6=0,0,IF(D191&lt;&gt;0,E191/D191-1,0))</f>
        <v>0.08996920776985773</v>
      </c>
      <c r="F155" s="225">
        <f t="shared" si="52"/>
        <v>0.006492337264551118</v>
      </c>
      <c r="G155" s="225">
        <f t="shared" si="52"/>
        <v>0.04480841077862863</v>
      </c>
      <c r="H155" s="225">
        <f t="shared" si="52"/>
        <v>0.039282756904570615</v>
      </c>
      <c r="I155" s="225">
        <f t="shared" si="52"/>
        <v>0.011785808165687861</v>
      </c>
      <c r="J155" s="225">
        <f t="shared" si="52"/>
        <v>0.0730922232712421</v>
      </c>
      <c r="K155" s="225">
        <f t="shared" si="52"/>
        <v>0.006515142846174271</v>
      </c>
      <c r="L155" s="225">
        <f t="shared" si="52"/>
        <v>0.023867709433200268</v>
      </c>
      <c r="M155" s="225">
        <f t="shared" si="52"/>
        <v>0</v>
      </c>
      <c r="N155" s="225">
        <f t="shared" si="52"/>
        <v>0</v>
      </c>
      <c r="O155" s="225">
        <f t="shared" si="52"/>
        <v>0</v>
      </c>
      <c r="P155" s="225">
        <f t="shared" si="52"/>
        <v>0</v>
      </c>
      <c r="Q155" s="225">
        <f t="shared" si="52"/>
        <v>0</v>
      </c>
      <c r="R155" s="225">
        <f t="shared" si="52"/>
        <v>0</v>
      </c>
      <c r="S155" s="225">
        <f t="shared" si="52"/>
        <v>0</v>
      </c>
      <c r="T155" s="225">
        <f t="shared" si="52"/>
        <v>0</v>
      </c>
      <c r="U155" s="225">
        <f t="shared" si="52"/>
        <v>0</v>
      </c>
      <c r="V155" s="225">
        <f t="shared" si="52"/>
        <v>0</v>
      </c>
      <c r="W155" s="225">
        <f t="shared" si="52"/>
        <v>0</v>
      </c>
      <c r="X155" s="225">
        <f t="shared" si="52"/>
        <v>0</v>
      </c>
      <c r="Y155" s="225">
        <f t="shared" si="52"/>
        <v>0</v>
      </c>
      <c r="Z155" s="225">
        <f t="shared" si="52"/>
        <v>0</v>
      </c>
      <c r="AA155" s="225">
        <f t="shared" si="52"/>
        <v>0</v>
      </c>
      <c r="AB155" s="225">
        <f t="shared" si="52"/>
        <v>0</v>
      </c>
      <c r="AC155" s="225">
        <f t="shared" si="52"/>
        <v>0</v>
      </c>
      <c r="AD155" s="225">
        <f t="shared" si="52"/>
        <v>0</v>
      </c>
      <c r="AE155" s="225">
        <f t="shared" si="52"/>
        <v>0</v>
      </c>
      <c r="AF155" s="225">
        <f t="shared" si="52"/>
        <v>0</v>
      </c>
      <c r="AG155" s="225">
        <f t="shared" si="52"/>
        <v>0</v>
      </c>
    </row>
    <row r="156" spans="2:33" ht="14.25" outlineLevel="2">
      <c r="B156" s="279" t="s">
        <v>375</v>
      </c>
      <c r="C156" s="254" t="s">
        <v>174</v>
      </c>
      <c r="D156" s="222">
        <f t="shared" si="51"/>
        <v>-0.4773162884147202</v>
      </c>
      <c r="E156" s="258">
        <f aca="true" t="shared" si="53" ref="E156:AG156">+IF(E$6=0,0,IF(D192&lt;&gt;0,E192/D192-1,0))</f>
        <v>-0.39846289577603</v>
      </c>
      <c r="F156" s="258">
        <f t="shared" si="53"/>
        <v>2.792929411764706</v>
      </c>
      <c r="G156" s="258">
        <f t="shared" si="53"/>
        <v>-0.7363515395519217</v>
      </c>
      <c r="H156" s="258">
        <f t="shared" si="53"/>
        <v>-1</v>
      </c>
      <c r="I156" s="258">
        <f t="shared" si="53"/>
        <v>0</v>
      </c>
      <c r="J156" s="258">
        <f t="shared" si="53"/>
        <v>0</v>
      </c>
      <c r="K156" s="258">
        <f t="shared" si="53"/>
        <v>0</v>
      </c>
      <c r="L156" s="258">
        <f t="shared" si="53"/>
        <v>0</v>
      </c>
      <c r="M156" s="258">
        <f t="shared" si="53"/>
        <v>0</v>
      </c>
      <c r="N156" s="258">
        <f t="shared" si="53"/>
        <v>0</v>
      </c>
      <c r="O156" s="258">
        <f t="shared" si="53"/>
        <v>0</v>
      </c>
      <c r="P156" s="258">
        <f t="shared" si="53"/>
        <v>0</v>
      </c>
      <c r="Q156" s="258">
        <f t="shared" si="53"/>
        <v>0</v>
      </c>
      <c r="R156" s="258">
        <f t="shared" si="53"/>
        <v>0</v>
      </c>
      <c r="S156" s="258">
        <f t="shared" si="53"/>
        <v>0</v>
      </c>
      <c r="T156" s="258">
        <f t="shared" si="53"/>
        <v>0</v>
      </c>
      <c r="U156" s="258">
        <f t="shared" si="53"/>
        <v>0</v>
      </c>
      <c r="V156" s="258">
        <f t="shared" si="53"/>
        <v>0</v>
      </c>
      <c r="W156" s="258">
        <f t="shared" si="53"/>
        <v>0</v>
      </c>
      <c r="X156" s="258">
        <f t="shared" si="53"/>
        <v>0</v>
      </c>
      <c r="Y156" s="258">
        <f t="shared" si="53"/>
        <v>0</v>
      </c>
      <c r="Z156" s="258">
        <f t="shared" si="53"/>
        <v>0</v>
      </c>
      <c r="AA156" s="258">
        <f t="shared" si="53"/>
        <v>0</v>
      </c>
      <c r="AB156" s="258">
        <f t="shared" si="53"/>
        <v>0</v>
      </c>
      <c r="AC156" s="258">
        <f t="shared" si="53"/>
        <v>0</v>
      </c>
      <c r="AD156" s="258">
        <f t="shared" si="53"/>
        <v>0</v>
      </c>
      <c r="AE156" s="258">
        <f t="shared" si="53"/>
        <v>0</v>
      </c>
      <c r="AF156" s="258">
        <f t="shared" si="53"/>
        <v>0</v>
      </c>
      <c r="AG156" s="258">
        <f t="shared" si="53"/>
        <v>0</v>
      </c>
    </row>
    <row r="157" spans="2:33" ht="14.25" outlineLevel="2">
      <c r="B157" s="275" t="s">
        <v>372</v>
      </c>
      <c r="C157" s="255" t="s">
        <v>174</v>
      </c>
      <c r="D157" s="259">
        <f t="shared" si="51"/>
        <v>0.05263157894736836</v>
      </c>
      <c r="E157" s="260">
        <f aca="true" t="shared" si="54" ref="E157:AG157">+IF(E$6=0,0,IF(D193&lt;&gt;0,E193/D193-1,0))</f>
        <v>-1</v>
      </c>
      <c r="F157" s="260">
        <f t="shared" si="54"/>
        <v>0</v>
      </c>
      <c r="G157" s="260">
        <f t="shared" si="54"/>
        <v>0</v>
      </c>
      <c r="H157" s="260">
        <f t="shared" si="54"/>
        <v>0</v>
      </c>
      <c r="I157" s="260">
        <f t="shared" si="54"/>
        <v>0</v>
      </c>
      <c r="J157" s="260">
        <f t="shared" si="54"/>
        <v>0</v>
      </c>
      <c r="K157" s="260">
        <f t="shared" si="54"/>
        <v>0</v>
      </c>
      <c r="L157" s="260">
        <f t="shared" si="54"/>
        <v>0</v>
      </c>
      <c r="M157" s="260">
        <f t="shared" si="54"/>
        <v>0</v>
      </c>
      <c r="N157" s="260">
        <f t="shared" si="54"/>
        <v>0</v>
      </c>
      <c r="O157" s="260">
        <f t="shared" si="54"/>
        <v>0</v>
      </c>
      <c r="P157" s="260">
        <f t="shared" si="54"/>
        <v>0</v>
      </c>
      <c r="Q157" s="260">
        <f t="shared" si="54"/>
        <v>0</v>
      </c>
      <c r="R157" s="260">
        <f t="shared" si="54"/>
        <v>0</v>
      </c>
      <c r="S157" s="260">
        <f t="shared" si="54"/>
        <v>0</v>
      </c>
      <c r="T157" s="260">
        <f t="shared" si="54"/>
        <v>0</v>
      </c>
      <c r="U157" s="260">
        <f t="shared" si="54"/>
        <v>0</v>
      </c>
      <c r="V157" s="260">
        <f t="shared" si="54"/>
        <v>0</v>
      </c>
      <c r="W157" s="260">
        <f t="shared" si="54"/>
        <v>0</v>
      </c>
      <c r="X157" s="260">
        <f t="shared" si="54"/>
        <v>0</v>
      </c>
      <c r="Y157" s="260">
        <f t="shared" si="54"/>
        <v>0</v>
      </c>
      <c r="Z157" s="260">
        <f t="shared" si="54"/>
        <v>0</v>
      </c>
      <c r="AA157" s="260">
        <f t="shared" si="54"/>
        <v>0</v>
      </c>
      <c r="AB157" s="260">
        <f t="shared" si="54"/>
        <v>0</v>
      </c>
      <c r="AC157" s="260">
        <f t="shared" si="54"/>
        <v>0</v>
      </c>
      <c r="AD157" s="260">
        <f t="shared" si="54"/>
        <v>0</v>
      </c>
      <c r="AE157" s="260">
        <f t="shared" si="54"/>
        <v>0</v>
      </c>
      <c r="AF157" s="260">
        <f t="shared" si="54"/>
        <v>0</v>
      </c>
      <c r="AG157" s="260">
        <f t="shared" si="54"/>
        <v>0</v>
      </c>
    </row>
    <row r="158" spans="2:33" ht="14.25" outlineLevel="2">
      <c r="B158" s="275" t="s">
        <v>373</v>
      </c>
      <c r="C158" s="256" t="s">
        <v>174</v>
      </c>
      <c r="D158" s="261">
        <f t="shared" si="51"/>
        <v>-0.5393800485806984</v>
      </c>
      <c r="E158" s="261">
        <f aca="true" t="shared" si="55" ref="E158:AG158">+IF(E$6=0,0,IF(D194&lt;&gt;0,E194/D194-1,0))</f>
        <v>-0.2374721154018672</v>
      </c>
      <c r="F158" s="261">
        <f t="shared" si="55"/>
        <v>2.792929411764706</v>
      </c>
      <c r="G158" s="261">
        <f t="shared" si="55"/>
        <v>-0.7363515395519217</v>
      </c>
      <c r="H158" s="261">
        <f t="shared" si="55"/>
        <v>-1</v>
      </c>
      <c r="I158" s="261">
        <f t="shared" si="55"/>
        <v>0</v>
      </c>
      <c r="J158" s="261">
        <f t="shared" si="55"/>
        <v>0</v>
      </c>
      <c r="K158" s="261">
        <f t="shared" si="55"/>
        <v>0</v>
      </c>
      <c r="L158" s="261">
        <f t="shared" si="55"/>
        <v>0</v>
      </c>
      <c r="M158" s="261">
        <f t="shared" si="55"/>
        <v>0</v>
      </c>
      <c r="N158" s="261">
        <f t="shared" si="55"/>
        <v>0</v>
      </c>
      <c r="O158" s="261">
        <f t="shared" si="55"/>
        <v>0</v>
      </c>
      <c r="P158" s="261">
        <f t="shared" si="55"/>
        <v>0</v>
      </c>
      <c r="Q158" s="261">
        <f t="shared" si="55"/>
        <v>0</v>
      </c>
      <c r="R158" s="261">
        <f t="shared" si="55"/>
        <v>0</v>
      </c>
      <c r="S158" s="261">
        <f t="shared" si="55"/>
        <v>0</v>
      </c>
      <c r="T158" s="261">
        <f t="shared" si="55"/>
        <v>0</v>
      </c>
      <c r="U158" s="261">
        <f t="shared" si="55"/>
        <v>0</v>
      </c>
      <c r="V158" s="261">
        <f t="shared" si="55"/>
        <v>0</v>
      </c>
      <c r="W158" s="261">
        <f t="shared" si="55"/>
        <v>0</v>
      </c>
      <c r="X158" s="261">
        <f t="shared" si="55"/>
        <v>0</v>
      </c>
      <c r="Y158" s="261">
        <f t="shared" si="55"/>
        <v>0</v>
      </c>
      <c r="Z158" s="261">
        <f t="shared" si="55"/>
        <v>0</v>
      </c>
      <c r="AA158" s="261">
        <f t="shared" si="55"/>
        <v>0</v>
      </c>
      <c r="AB158" s="261">
        <f t="shared" si="55"/>
        <v>0</v>
      </c>
      <c r="AC158" s="261">
        <f t="shared" si="55"/>
        <v>0</v>
      </c>
      <c r="AD158" s="261">
        <f t="shared" si="55"/>
        <v>0</v>
      </c>
      <c r="AE158" s="261">
        <f t="shared" si="55"/>
        <v>0</v>
      </c>
      <c r="AF158" s="261">
        <f t="shared" si="55"/>
        <v>0</v>
      </c>
      <c r="AG158" s="261">
        <f t="shared" si="55"/>
        <v>0</v>
      </c>
    </row>
    <row r="159" spans="2:33" ht="24" outlineLevel="2">
      <c r="B159" s="280" t="s">
        <v>371</v>
      </c>
      <c r="C159" s="254" t="s">
        <v>174</v>
      </c>
      <c r="D159" s="258">
        <f t="shared" si="51"/>
        <v>-0.4773162884147202</v>
      </c>
      <c r="E159" s="258">
        <f aca="true" t="shared" si="56" ref="E159:AG159">+IF(E$6=0,0,IF(D195&lt;&gt;0,E195/D195-1,0))</f>
        <v>-0.4220525861377543</v>
      </c>
      <c r="F159" s="258">
        <f t="shared" si="56"/>
        <v>2.947742857142857</v>
      </c>
      <c r="G159" s="258">
        <f t="shared" si="56"/>
        <v>-0.7363515395519217</v>
      </c>
      <c r="H159" s="258">
        <f t="shared" si="56"/>
        <v>-1</v>
      </c>
      <c r="I159" s="258">
        <f t="shared" si="56"/>
        <v>0</v>
      </c>
      <c r="J159" s="258">
        <f t="shared" si="56"/>
        <v>0</v>
      </c>
      <c r="K159" s="258">
        <f t="shared" si="56"/>
        <v>0</v>
      </c>
      <c r="L159" s="258">
        <f t="shared" si="56"/>
        <v>0</v>
      </c>
      <c r="M159" s="258">
        <f t="shared" si="56"/>
        <v>0</v>
      </c>
      <c r="N159" s="258">
        <f t="shared" si="56"/>
        <v>0</v>
      </c>
      <c r="O159" s="258">
        <f t="shared" si="56"/>
        <v>0</v>
      </c>
      <c r="P159" s="258">
        <f t="shared" si="56"/>
        <v>0</v>
      </c>
      <c r="Q159" s="258">
        <f t="shared" si="56"/>
        <v>0</v>
      </c>
      <c r="R159" s="258">
        <f t="shared" si="56"/>
        <v>0</v>
      </c>
      <c r="S159" s="258">
        <f t="shared" si="56"/>
        <v>0</v>
      </c>
      <c r="T159" s="258">
        <f t="shared" si="56"/>
        <v>0</v>
      </c>
      <c r="U159" s="258">
        <f t="shared" si="56"/>
        <v>0</v>
      </c>
      <c r="V159" s="258">
        <f t="shared" si="56"/>
        <v>0</v>
      </c>
      <c r="W159" s="258">
        <f t="shared" si="56"/>
        <v>0</v>
      </c>
      <c r="X159" s="258">
        <f t="shared" si="56"/>
        <v>0</v>
      </c>
      <c r="Y159" s="258">
        <f t="shared" si="56"/>
        <v>0</v>
      </c>
      <c r="Z159" s="258">
        <f t="shared" si="56"/>
        <v>0</v>
      </c>
      <c r="AA159" s="258">
        <f t="shared" si="56"/>
        <v>0</v>
      </c>
      <c r="AB159" s="258">
        <f t="shared" si="56"/>
        <v>0</v>
      </c>
      <c r="AC159" s="258">
        <f t="shared" si="56"/>
        <v>0</v>
      </c>
      <c r="AD159" s="258">
        <f t="shared" si="56"/>
        <v>0</v>
      </c>
      <c r="AE159" s="258">
        <f t="shared" si="56"/>
        <v>0</v>
      </c>
      <c r="AF159" s="258">
        <f t="shared" si="56"/>
        <v>0</v>
      </c>
      <c r="AG159" s="258">
        <f t="shared" si="56"/>
        <v>0</v>
      </c>
    </row>
    <row r="160" spans="2:33" ht="24" outlineLevel="2">
      <c r="B160" s="276" t="s">
        <v>374</v>
      </c>
      <c r="C160" s="257" t="s">
        <v>174</v>
      </c>
      <c r="D160" s="262">
        <f t="shared" si="51"/>
        <v>0.05263157894736836</v>
      </c>
      <c r="E160" s="262">
        <f aca="true" t="shared" si="57" ref="E160:AG160">+IF(E$6=0,0,IF(D196&lt;&gt;0,E196/D196-1,0))</f>
        <v>-1</v>
      </c>
      <c r="F160" s="262">
        <f t="shared" si="57"/>
        <v>0</v>
      </c>
      <c r="G160" s="262">
        <f t="shared" si="57"/>
        <v>0</v>
      </c>
      <c r="H160" s="262">
        <f t="shared" si="57"/>
        <v>0</v>
      </c>
      <c r="I160" s="262">
        <f t="shared" si="57"/>
        <v>0</v>
      </c>
      <c r="J160" s="262">
        <f t="shared" si="57"/>
        <v>0</v>
      </c>
      <c r="K160" s="262">
        <f t="shared" si="57"/>
        <v>0</v>
      </c>
      <c r="L160" s="262">
        <f t="shared" si="57"/>
        <v>0</v>
      </c>
      <c r="M160" s="262">
        <f t="shared" si="57"/>
        <v>0</v>
      </c>
      <c r="N160" s="262">
        <f t="shared" si="57"/>
        <v>0</v>
      </c>
      <c r="O160" s="262">
        <f t="shared" si="57"/>
        <v>0</v>
      </c>
      <c r="P160" s="262">
        <f t="shared" si="57"/>
        <v>0</v>
      </c>
      <c r="Q160" s="262">
        <f t="shared" si="57"/>
        <v>0</v>
      </c>
      <c r="R160" s="262">
        <f t="shared" si="57"/>
        <v>0</v>
      </c>
      <c r="S160" s="262">
        <f t="shared" si="57"/>
        <v>0</v>
      </c>
      <c r="T160" s="262">
        <f t="shared" si="57"/>
        <v>0</v>
      </c>
      <c r="U160" s="262">
        <f t="shared" si="57"/>
        <v>0</v>
      </c>
      <c r="V160" s="262">
        <f t="shared" si="57"/>
        <v>0</v>
      </c>
      <c r="W160" s="262">
        <f t="shared" si="57"/>
        <v>0</v>
      </c>
      <c r="X160" s="262">
        <f t="shared" si="57"/>
        <v>0</v>
      </c>
      <c r="Y160" s="262">
        <f t="shared" si="57"/>
        <v>0</v>
      </c>
      <c r="Z160" s="262">
        <f t="shared" si="57"/>
        <v>0</v>
      </c>
      <c r="AA160" s="262">
        <f t="shared" si="57"/>
        <v>0</v>
      </c>
      <c r="AB160" s="262">
        <f t="shared" si="57"/>
        <v>0</v>
      </c>
      <c r="AC160" s="262">
        <f t="shared" si="57"/>
        <v>0</v>
      </c>
      <c r="AD160" s="262">
        <f t="shared" si="57"/>
        <v>0</v>
      </c>
      <c r="AE160" s="262">
        <f t="shared" si="57"/>
        <v>0</v>
      </c>
      <c r="AF160" s="262">
        <f t="shared" si="57"/>
        <v>0</v>
      </c>
      <c r="AG160" s="262">
        <f t="shared" si="57"/>
        <v>0</v>
      </c>
    </row>
    <row r="161" spans="2:33" ht="14.25" outlineLevel="1">
      <c r="B161" s="281" t="s">
        <v>234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2:33" ht="14.25" outlineLevel="2">
      <c r="B162" s="273" t="s">
        <v>58</v>
      </c>
      <c r="C162" s="212" t="s">
        <v>174</v>
      </c>
      <c r="D162" s="121">
        <f aca="true" t="shared" si="58" ref="D162:AG162">+IF(D$180=0,"",D180-C180)</f>
        <v>-934066</v>
      </c>
      <c r="E162" s="121">
        <f t="shared" si="58"/>
        <v>329911</v>
      </c>
      <c r="F162" s="121">
        <f t="shared" si="58"/>
        <v>2482297</v>
      </c>
      <c r="G162" s="121">
        <f t="shared" si="58"/>
        <v>-989330</v>
      </c>
      <c r="H162" s="121">
        <f t="shared" si="58"/>
        <v>817982</v>
      </c>
      <c r="I162" s="121">
        <f t="shared" si="58"/>
        <v>1116347</v>
      </c>
      <c r="J162" s="121">
        <f t="shared" si="58"/>
        <v>246837</v>
      </c>
      <c r="K162" s="121">
        <f t="shared" si="58"/>
        <v>1778242</v>
      </c>
      <c r="L162" s="121">
        <f t="shared" si="58"/>
        <v>1110589</v>
      </c>
      <c r="M162" s="121">
        <f t="shared" si="58"/>
      </c>
      <c r="N162" s="121">
        <f t="shared" si="58"/>
      </c>
      <c r="O162" s="121">
        <f t="shared" si="58"/>
      </c>
      <c r="P162" s="121">
        <f t="shared" si="58"/>
      </c>
      <c r="Q162" s="121">
        <f t="shared" si="58"/>
      </c>
      <c r="R162" s="121">
        <f t="shared" si="58"/>
      </c>
      <c r="S162" s="121">
        <f t="shared" si="58"/>
      </c>
      <c r="T162" s="121">
        <f t="shared" si="58"/>
      </c>
      <c r="U162" s="121">
        <f t="shared" si="58"/>
      </c>
      <c r="V162" s="121">
        <f t="shared" si="58"/>
      </c>
      <c r="W162" s="121">
        <f t="shared" si="58"/>
      </c>
      <c r="X162" s="121">
        <f t="shared" si="58"/>
      </c>
      <c r="Y162" s="121">
        <f t="shared" si="58"/>
      </c>
      <c r="Z162" s="121">
        <f t="shared" si="58"/>
      </c>
      <c r="AA162" s="121">
        <f t="shared" si="58"/>
      </c>
      <c r="AB162" s="121">
        <f t="shared" si="58"/>
      </c>
      <c r="AC162" s="121">
        <f t="shared" si="58"/>
      </c>
      <c r="AD162" s="121">
        <f t="shared" si="58"/>
      </c>
      <c r="AE162" s="121">
        <f t="shared" si="58"/>
      </c>
      <c r="AF162" s="121">
        <f t="shared" si="58"/>
      </c>
      <c r="AG162" s="121">
        <f t="shared" si="58"/>
      </c>
    </row>
    <row r="163" spans="2:33" ht="14.25" outlineLevel="2">
      <c r="B163" s="274" t="s">
        <v>220</v>
      </c>
      <c r="C163" s="128" t="s">
        <v>174</v>
      </c>
      <c r="D163" s="122">
        <f aca="true" t="shared" si="59" ref="D163:AG163">+IF(D$180=0,"",D181-C181)</f>
        <v>-159827</v>
      </c>
      <c r="E163" s="122">
        <f t="shared" si="59"/>
        <v>667739</v>
      </c>
      <c r="F163" s="122">
        <f t="shared" si="59"/>
        <v>1057903</v>
      </c>
      <c r="G163" s="122">
        <f t="shared" si="59"/>
        <v>435064</v>
      </c>
      <c r="H163" s="122">
        <f t="shared" si="59"/>
        <v>1327982</v>
      </c>
      <c r="I163" s="122">
        <f t="shared" si="59"/>
        <v>1116347</v>
      </c>
      <c r="J163" s="122">
        <f t="shared" si="59"/>
        <v>246837</v>
      </c>
      <c r="K163" s="122">
        <f t="shared" si="59"/>
        <v>1778242</v>
      </c>
      <c r="L163" s="122">
        <f t="shared" si="59"/>
        <v>1110589</v>
      </c>
      <c r="M163" s="122">
        <f t="shared" si="59"/>
      </c>
      <c r="N163" s="122">
        <f t="shared" si="59"/>
      </c>
      <c r="O163" s="122">
        <f t="shared" si="59"/>
      </c>
      <c r="P163" s="122">
        <f t="shared" si="59"/>
      </c>
      <c r="Q163" s="122">
        <f t="shared" si="59"/>
      </c>
      <c r="R163" s="122">
        <f t="shared" si="59"/>
      </c>
      <c r="S163" s="122">
        <f t="shared" si="59"/>
      </c>
      <c r="T163" s="122">
        <f t="shared" si="59"/>
      </c>
      <c r="U163" s="122">
        <f t="shared" si="59"/>
      </c>
      <c r="V163" s="122">
        <f t="shared" si="59"/>
      </c>
      <c r="W163" s="122">
        <f t="shared" si="59"/>
      </c>
      <c r="X163" s="122">
        <f t="shared" si="59"/>
      </c>
      <c r="Y163" s="122">
        <f t="shared" si="59"/>
      </c>
      <c r="Z163" s="122">
        <f t="shared" si="59"/>
      </c>
      <c r="AA163" s="122">
        <f t="shared" si="59"/>
      </c>
      <c r="AB163" s="122">
        <f t="shared" si="59"/>
      </c>
      <c r="AC163" s="122">
        <f t="shared" si="59"/>
      </c>
      <c r="AD163" s="122">
        <f t="shared" si="59"/>
      </c>
      <c r="AE163" s="122">
        <f t="shared" si="59"/>
      </c>
      <c r="AF163" s="122">
        <f t="shared" si="59"/>
      </c>
      <c r="AG163" s="122">
        <f t="shared" si="59"/>
      </c>
    </row>
    <row r="164" spans="2:33" ht="14.25" outlineLevel="2">
      <c r="B164" s="275" t="s">
        <v>219</v>
      </c>
      <c r="C164" s="128" t="s">
        <v>174</v>
      </c>
      <c r="D164" s="122">
        <f aca="true" t="shared" si="60" ref="D164:AG164">+IF(D$180=0,"",D182-C182)</f>
        <v>90173</v>
      </c>
      <c r="E164" s="122">
        <f t="shared" si="60"/>
        <v>667739</v>
      </c>
      <c r="F164" s="122">
        <f t="shared" si="60"/>
        <v>1057903</v>
      </c>
      <c r="G164" s="122">
        <f t="shared" si="60"/>
        <v>435064</v>
      </c>
      <c r="H164" s="122">
        <f t="shared" si="60"/>
        <v>1327982</v>
      </c>
      <c r="I164" s="122">
        <f t="shared" si="60"/>
        <v>1116347</v>
      </c>
      <c r="J164" s="122">
        <f t="shared" si="60"/>
        <v>246837</v>
      </c>
      <c r="K164" s="122">
        <f t="shared" si="60"/>
        <v>1778242</v>
      </c>
      <c r="L164" s="122">
        <f t="shared" si="60"/>
        <v>1110589</v>
      </c>
      <c r="M164" s="122">
        <f t="shared" si="60"/>
      </c>
      <c r="N164" s="122">
        <f t="shared" si="60"/>
      </c>
      <c r="O164" s="122">
        <f t="shared" si="60"/>
      </c>
      <c r="P164" s="122">
        <f t="shared" si="60"/>
      </c>
      <c r="Q164" s="122">
        <f t="shared" si="60"/>
      </c>
      <c r="R164" s="122">
        <f t="shared" si="60"/>
      </c>
      <c r="S164" s="122">
        <f t="shared" si="60"/>
      </c>
      <c r="T164" s="122">
        <f t="shared" si="60"/>
      </c>
      <c r="U164" s="122">
        <f t="shared" si="60"/>
      </c>
      <c r="V164" s="122">
        <f t="shared" si="60"/>
      </c>
      <c r="W164" s="122">
        <f t="shared" si="60"/>
      </c>
      <c r="X164" s="122">
        <f t="shared" si="60"/>
      </c>
      <c r="Y164" s="122">
        <f t="shared" si="60"/>
      </c>
      <c r="Z164" s="122">
        <f t="shared" si="60"/>
      </c>
      <c r="AA164" s="122">
        <f t="shared" si="60"/>
      </c>
      <c r="AB164" s="122">
        <f t="shared" si="60"/>
      </c>
      <c r="AC164" s="122">
        <f t="shared" si="60"/>
      </c>
      <c r="AD164" s="122">
        <f t="shared" si="60"/>
      </c>
      <c r="AE164" s="122">
        <f t="shared" si="60"/>
      </c>
      <c r="AF164" s="122">
        <f t="shared" si="60"/>
      </c>
      <c r="AG164" s="122">
        <f t="shared" si="60"/>
      </c>
    </row>
    <row r="165" spans="2:33" ht="14.25" outlineLevel="2">
      <c r="B165" s="275" t="s">
        <v>226</v>
      </c>
      <c r="C165" s="128" t="s">
        <v>174</v>
      </c>
      <c r="D165" s="122">
        <f aca="true" t="shared" si="61" ref="D165:AG165">+IF(D$180=0,"",D183-C183)</f>
        <v>-250000</v>
      </c>
      <c r="E165" s="122">
        <f t="shared" si="61"/>
        <v>0</v>
      </c>
      <c r="F165" s="122">
        <f t="shared" si="61"/>
        <v>0</v>
      </c>
      <c r="G165" s="122">
        <f t="shared" si="61"/>
        <v>0</v>
      </c>
      <c r="H165" s="122">
        <f t="shared" si="61"/>
        <v>0</v>
      </c>
      <c r="I165" s="122">
        <f t="shared" si="61"/>
        <v>0</v>
      </c>
      <c r="J165" s="122">
        <f t="shared" si="61"/>
        <v>0</v>
      </c>
      <c r="K165" s="122">
        <f t="shared" si="61"/>
        <v>0</v>
      </c>
      <c r="L165" s="122">
        <f t="shared" si="61"/>
        <v>0</v>
      </c>
      <c r="M165" s="122">
        <f t="shared" si="61"/>
      </c>
      <c r="N165" s="122">
        <f t="shared" si="61"/>
      </c>
      <c r="O165" s="122">
        <f t="shared" si="61"/>
      </c>
      <c r="P165" s="122">
        <f t="shared" si="61"/>
      </c>
      <c r="Q165" s="122">
        <f t="shared" si="61"/>
      </c>
      <c r="R165" s="122">
        <f t="shared" si="61"/>
      </c>
      <c r="S165" s="122">
        <f t="shared" si="61"/>
      </c>
      <c r="T165" s="122">
        <f t="shared" si="61"/>
      </c>
      <c r="U165" s="122">
        <f t="shared" si="61"/>
      </c>
      <c r="V165" s="122">
        <f t="shared" si="61"/>
      </c>
      <c r="W165" s="122">
        <f t="shared" si="61"/>
      </c>
      <c r="X165" s="122">
        <f t="shared" si="61"/>
      </c>
      <c r="Y165" s="122">
        <f t="shared" si="61"/>
      </c>
      <c r="Z165" s="122">
        <f t="shared" si="61"/>
      </c>
      <c r="AA165" s="122">
        <f t="shared" si="61"/>
      </c>
      <c r="AB165" s="122">
        <f t="shared" si="61"/>
      </c>
      <c r="AC165" s="122">
        <f t="shared" si="61"/>
      </c>
      <c r="AD165" s="122">
        <f t="shared" si="61"/>
      </c>
      <c r="AE165" s="122">
        <f t="shared" si="61"/>
      </c>
      <c r="AF165" s="122">
        <f t="shared" si="61"/>
      </c>
      <c r="AG165" s="122">
        <f t="shared" si="61"/>
      </c>
    </row>
    <row r="166" spans="2:33" ht="24" outlineLevel="2">
      <c r="B166" s="275" t="s">
        <v>242</v>
      </c>
      <c r="C166" s="128" t="s">
        <v>174</v>
      </c>
      <c r="D166" s="122">
        <f aca="true" t="shared" si="62" ref="D166:AG166">+IF(D$180=0,"",D184-C184)</f>
        <v>-250000</v>
      </c>
      <c r="E166" s="122">
        <f t="shared" si="62"/>
        <v>0</v>
      </c>
      <c r="F166" s="122">
        <f t="shared" si="62"/>
        <v>0</v>
      </c>
      <c r="G166" s="122">
        <f t="shared" si="62"/>
        <v>0</v>
      </c>
      <c r="H166" s="122">
        <f t="shared" si="62"/>
        <v>0</v>
      </c>
      <c r="I166" s="122">
        <f t="shared" si="62"/>
        <v>0</v>
      </c>
      <c r="J166" s="122">
        <f t="shared" si="62"/>
        <v>0</v>
      </c>
      <c r="K166" s="122">
        <f t="shared" si="62"/>
        <v>0</v>
      </c>
      <c r="L166" s="122">
        <f t="shared" si="62"/>
        <v>0</v>
      </c>
      <c r="M166" s="122">
        <f t="shared" si="62"/>
      </c>
      <c r="N166" s="122">
        <f t="shared" si="62"/>
      </c>
      <c r="O166" s="122">
        <f t="shared" si="62"/>
      </c>
      <c r="P166" s="122">
        <f t="shared" si="62"/>
      </c>
      <c r="Q166" s="122">
        <f t="shared" si="62"/>
      </c>
      <c r="R166" s="122">
        <f t="shared" si="62"/>
      </c>
      <c r="S166" s="122">
        <f t="shared" si="62"/>
      </c>
      <c r="T166" s="122">
        <f t="shared" si="62"/>
      </c>
      <c r="U166" s="122">
        <f t="shared" si="62"/>
      </c>
      <c r="V166" s="122">
        <f t="shared" si="62"/>
      </c>
      <c r="W166" s="122">
        <f t="shared" si="62"/>
      </c>
      <c r="X166" s="122">
        <f t="shared" si="62"/>
      </c>
      <c r="Y166" s="122">
        <f t="shared" si="62"/>
      </c>
      <c r="Z166" s="122">
        <f t="shared" si="62"/>
      </c>
      <c r="AA166" s="122">
        <f t="shared" si="62"/>
      </c>
      <c r="AB166" s="122">
        <f t="shared" si="62"/>
      </c>
      <c r="AC166" s="122">
        <f t="shared" si="62"/>
      </c>
      <c r="AD166" s="122">
        <f t="shared" si="62"/>
      </c>
      <c r="AE166" s="122">
        <f t="shared" si="62"/>
      </c>
      <c r="AF166" s="122">
        <f t="shared" si="62"/>
      </c>
      <c r="AG166" s="122">
        <f t="shared" si="62"/>
      </c>
    </row>
    <row r="167" spans="2:33" ht="14.25" outlineLevel="2">
      <c r="B167" s="276" t="s">
        <v>227</v>
      </c>
      <c r="C167" s="213" t="s">
        <v>174</v>
      </c>
      <c r="D167" s="180">
        <f aca="true" t="shared" si="63" ref="D167:AG167">+IF(D$180=0,"",D185-C185)</f>
        <v>0</v>
      </c>
      <c r="E167" s="180">
        <f t="shared" si="63"/>
        <v>0</v>
      </c>
      <c r="F167" s="180">
        <f t="shared" si="63"/>
        <v>0</v>
      </c>
      <c r="G167" s="180">
        <f t="shared" si="63"/>
        <v>0</v>
      </c>
      <c r="H167" s="180">
        <f t="shared" si="63"/>
        <v>0</v>
      </c>
      <c r="I167" s="180">
        <f t="shared" si="63"/>
        <v>0</v>
      </c>
      <c r="J167" s="180">
        <f t="shared" si="63"/>
        <v>0</v>
      </c>
      <c r="K167" s="180">
        <f t="shared" si="63"/>
        <v>0</v>
      </c>
      <c r="L167" s="180">
        <f t="shared" si="63"/>
        <v>0</v>
      </c>
      <c r="M167" s="180">
        <f t="shared" si="63"/>
      </c>
      <c r="N167" s="180">
        <f t="shared" si="63"/>
      </c>
      <c r="O167" s="180">
        <f t="shared" si="63"/>
      </c>
      <c r="P167" s="180">
        <f t="shared" si="63"/>
      </c>
      <c r="Q167" s="180">
        <f t="shared" si="63"/>
      </c>
      <c r="R167" s="180">
        <f t="shared" si="63"/>
      </c>
      <c r="S167" s="180">
        <f t="shared" si="63"/>
      </c>
      <c r="T167" s="180">
        <f t="shared" si="63"/>
      </c>
      <c r="U167" s="180">
        <f t="shared" si="63"/>
      </c>
      <c r="V167" s="180">
        <f t="shared" si="63"/>
      </c>
      <c r="W167" s="180">
        <f t="shared" si="63"/>
      </c>
      <c r="X167" s="180">
        <f t="shared" si="63"/>
      </c>
      <c r="Y167" s="180">
        <f t="shared" si="63"/>
      </c>
      <c r="Z167" s="180">
        <f t="shared" si="63"/>
      </c>
      <c r="AA167" s="180">
        <f t="shared" si="63"/>
      </c>
      <c r="AB167" s="180">
        <f t="shared" si="63"/>
      </c>
      <c r="AC167" s="180">
        <f t="shared" si="63"/>
      </c>
      <c r="AD167" s="180">
        <f t="shared" si="63"/>
      </c>
      <c r="AE167" s="180">
        <f t="shared" si="63"/>
      </c>
      <c r="AF167" s="180">
        <f t="shared" si="63"/>
      </c>
      <c r="AG167" s="180">
        <f t="shared" si="63"/>
      </c>
    </row>
    <row r="168" spans="2:33" ht="14.25" outlineLevel="2">
      <c r="B168" s="273" t="s">
        <v>45</v>
      </c>
      <c r="C168" s="212" t="s">
        <v>174</v>
      </c>
      <c r="D168" s="121">
        <f aca="true" t="shared" si="64" ref="D168:AG168">+IF(D$180=0,"",D186-C186)</f>
        <v>-678092</v>
      </c>
      <c r="E168" s="121">
        <f t="shared" si="64"/>
        <v>293271</v>
      </c>
      <c r="F168" s="121">
        <f t="shared" si="64"/>
        <v>2455266</v>
      </c>
      <c r="G168" s="121">
        <f t="shared" si="64"/>
        <v>-2245033</v>
      </c>
      <c r="H168" s="121">
        <f t="shared" si="64"/>
        <v>561982</v>
      </c>
      <c r="I168" s="121">
        <f t="shared" si="64"/>
        <v>616347</v>
      </c>
      <c r="J168" s="121">
        <f t="shared" si="64"/>
        <v>2196837</v>
      </c>
      <c r="K168" s="121">
        <f t="shared" si="64"/>
        <v>-288334</v>
      </c>
      <c r="L168" s="121">
        <f t="shared" si="64"/>
        <v>1983530</v>
      </c>
      <c r="M168" s="121">
        <f t="shared" si="64"/>
      </c>
      <c r="N168" s="121">
        <f t="shared" si="64"/>
      </c>
      <c r="O168" s="121">
        <f t="shared" si="64"/>
      </c>
      <c r="P168" s="121">
        <f t="shared" si="64"/>
      </c>
      <c r="Q168" s="121">
        <f t="shared" si="64"/>
      </c>
      <c r="R168" s="121">
        <f t="shared" si="64"/>
      </c>
      <c r="S168" s="121">
        <f t="shared" si="64"/>
      </c>
      <c r="T168" s="121">
        <f t="shared" si="64"/>
      </c>
      <c r="U168" s="121">
        <f t="shared" si="64"/>
      </c>
      <c r="V168" s="121">
        <f t="shared" si="64"/>
      </c>
      <c r="W168" s="121">
        <f t="shared" si="64"/>
      </c>
      <c r="X168" s="121">
        <f t="shared" si="64"/>
      </c>
      <c r="Y168" s="121">
        <f t="shared" si="64"/>
      </c>
      <c r="Z168" s="121">
        <f t="shared" si="64"/>
      </c>
      <c r="AA168" s="121">
        <f t="shared" si="64"/>
      </c>
      <c r="AB168" s="121">
        <f t="shared" si="64"/>
      </c>
      <c r="AC168" s="121">
        <f t="shared" si="64"/>
      </c>
      <c r="AD168" s="121">
        <f t="shared" si="64"/>
      </c>
      <c r="AE168" s="121">
        <f t="shared" si="64"/>
      </c>
      <c r="AF168" s="121">
        <f t="shared" si="64"/>
      </c>
      <c r="AG168" s="121">
        <f t="shared" si="64"/>
      </c>
    </row>
    <row r="169" spans="2:33" ht="24" outlineLevel="2">
      <c r="B169" s="277" t="s">
        <v>221</v>
      </c>
      <c r="C169" s="128" t="s">
        <v>174</v>
      </c>
      <c r="D169" s="122">
        <f aca="true" t="shared" si="65" ref="D169:AG169">+IF(D$180=0,"",D187-C187)</f>
        <v>-866442</v>
      </c>
      <c r="E169" s="122">
        <f t="shared" si="65"/>
        <v>1390378</v>
      </c>
      <c r="F169" s="122">
        <f t="shared" si="65"/>
        <v>472336</v>
      </c>
      <c r="G169" s="122">
        <f t="shared" si="65"/>
        <v>857897</v>
      </c>
      <c r="H169" s="122">
        <f t="shared" si="65"/>
        <v>1561982</v>
      </c>
      <c r="I169" s="122">
        <f t="shared" si="65"/>
        <v>616347</v>
      </c>
      <c r="J169" s="122">
        <f t="shared" si="65"/>
        <v>2196837</v>
      </c>
      <c r="K169" s="122">
        <f t="shared" si="65"/>
        <v>-288334</v>
      </c>
      <c r="L169" s="122">
        <f t="shared" si="65"/>
        <v>1983530</v>
      </c>
      <c r="M169" s="122">
        <f t="shared" si="65"/>
      </c>
      <c r="N169" s="122">
        <f t="shared" si="65"/>
      </c>
      <c r="O169" s="122">
        <f t="shared" si="65"/>
      </c>
      <c r="P169" s="122">
        <f t="shared" si="65"/>
      </c>
      <c r="Q169" s="122">
        <f t="shared" si="65"/>
      </c>
      <c r="R169" s="122">
        <f t="shared" si="65"/>
      </c>
      <c r="S169" s="122">
        <f t="shared" si="65"/>
      </c>
      <c r="T169" s="122">
        <f t="shared" si="65"/>
      </c>
      <c r="U169" s="122">
        <f t="shared" si="65"/>
      </c>
      <c r="V169" s="122">
        <f t="shared" si="65"/>
      </c>
      <c r="W169" s="122">
        <f t="shared" si="65"/>
      </c>
      <c r="X169" s="122">
        <f t="shared" si="65"/>
      </c>
      <c r="Y169" s="122">
        <f t="shared" si="65"/>
      </c>
      <c r="Z169" s="122">
        <f t="shared" si="65"/>
      </c>
      <c r="AA169" s="122">
        <f t="shared" si="65"/>
      </c>
      <c r="AB169" s="122">
        <f t="shared" si="65"/>
      </c>
      <c r="AC169" s="122">
        <f t="shared" si="65"/>
      </c>
      <c r="AD169" s="122">
        <f t="shared" si="65"/>
      </c>
      <c r="AE169" s="122">
        <f t="shared" si="65"/>
      </c>
      <c r="AF169" s="122">
        <f t="shared" si="65"/>
      </c>
      <c r="AG169" s="122">
        <f t="shared" si="65"/>
      </c>
    </row>
    <row r="170" spans="2:33" ht="14.25" outlineLevel="2">
      <c r="B170" s="278" t="s">
        <v>228</v>
      </c>
      <c r="C170" s="128" t="s">
        <v>174</v>
      </c>
      <c r="D170" s="122">
        <f aca="true" t="shared" si="66" ref="D170:AG170">+IF(D$180=0,"",D188-C188)</f>
        <v>721371</v>
      </c>
      <c r="E170" s="122">
        <f t="shared" si="66"/>
        <v>1384271</v>
      </c>
      <c r="F170" s="122">
        <f t="shared" si="66"/>
        <v>472336</v>
      </c>
      <c r="G170" s="122">
        <f t="shared" si="66"/>
        <v>857897</v>
      </c>
      <c r="H170" s="122">
        <f t="shared" si="66"/>
        <v>855506</v>
      </c>
      <c r="I170" s="122">
        <f t="shared" si="66"/>
        <v>480544</v>
      </c>
      <c r="J170" s="122">
        <f t="shared" si="66"/>
        <v>1429057</v>
      </c>
      <c r="K170" s="122">
        <f t="shared" si="66"/>
        <v>425454</v>
      </c>
      <c r="L170" s="122">
        <f t="shared" si="66"/>
        <v>771806</v>
      </c>
      <c r="M170" s="122">
        <f t="shared" si="66"/>
      </c>
      <c r="N170" s="122">
        <f t="shared" si="66"/>
      </c>
      <c r="O170" s="122">
        <f t="shared" si="66"/>
      </c>
      <c r="P170" s="122">
        <f t="shared" si="66"/>
      </c>
      <c r="Q170" s="122">
        <f t="shared" si="66"/>
      </c>
      <c r="R170" s="122">
        <f t="shared" si="66"/>
      </c>
      <c r="S170" s="122">
        <f t="shared" si="66"/>
      </c>
      <c r="T170" s="122">
        <f t="shared" si="66"/>
      </c>
      <c r="U170" s="122">
        <f t="shared" si="66"/>
      </c>
      <c r="V170" s="122">
        <f t="shared" si="66"/>
      </c>
      <c r="W170" s="122">
        <f t="shared" si="66"/>
      </c>
      <c r="X170" s="122">
        <f t="shared" si="66"/>
      </c>
      <c r="Y170" s="122">
        <f t="shared" si="66"/>
      </c>
      <c r="Z170" s="122">
        <f t="shared" si="66"/>
      </c>
      <c r="AA170" s="122">
        <f t="shared" si="66"/>
      </c>
      <c r="AB170" s="122">
        <f t="shared" si="66"/>
      </c>
      <c r="AC170" s="122">
        <f t="shared" si="66"/>
      </c>
      <c r="AD170" s="122">
        <f t="shared" si="66"/>
      </c>
      <c r="AE170" s="122">
        <f t="shared" si="66"/>
      </c>
      <c r="AF170" s="122">
        <f t="shared" si="66"/>
      </c>
      <c r="AG170" s="122">
        <f t="shared" si="66"/>
      </c>
    </row>
    <row r="171" spans="2:33" ht="24" outlineLevel="2">
      <c r="B171" s="275" t="s">
        <v>230</v>
      </c>
      <c r="C171" s="128" t="s">
        <v>174</v>
      </c>
      <c r="D171" s="122">
        <f aca="true" t="shared" si="67" ref="D171:AG171">+IF(D$180=0,"",D189-C189)</f>
        <v>711371</v>
      </c>
      <c r="E171" s="122">
        <f t="shared" si="67"/>
        <v>1584271</v>
      </c>
      <c r="F171" s="122">
        <f t="shared" si="67"/>
        <v>472336</v>
      </c>
      <c r="G171" s="122">
        <f t="shared" si="67"/>
        <v>857897</v>
      </c>
      <c r="H171" s="122">
        <f t="shared" si="67"/>
        <v>855506</v>
      </c>
      <c r="I171" s="122">
        <f t="shared" si="67"/>
        <v>480544</v>
      </c>
      <c r="J171" s="122">
        <f t="shared" si="67"/>
        <v>1429057</v>
      </c>
      <c r="K171" s="122">
        <f t="shared" si="67"/>
        <v>425454</v>
      </c>
      <c r="L171" s="122">
        <f t="shared" si="67"/>
        <v>771806</v>
      </c>
      <c r="M171" s="122">
        <f t="shared" si="67"/>
      </c>
      <c r="N171" s="122">
        <f t="shared" si="67"/>
      </c>
      <c r="O171" s="122">
        <f t="shared" si="67"/>
      </c>
      <c r="P171" s="122">
        <f t="shared" si="67"/>
      </c>
      <c r="Q171" s="122">
        <f t="shared" si="67"/>
      </c>
      <c r="R171" s="122">
        <f t="shared" si="67"/>
      </c>
      <c r="S171" s="122">
        <f t="shared" si="67"/>
      </c>
      <c r="T171" s="122">
        <f t="shared" si="67"/>
      </c>
      <c r="U171" s="122">
        <f t="shared" si="67"/>
      </c>
      <c r="V171" s="122">
        <f t="shared" si="67"/>
      </c>
      <c r="W171" s="122">
        <f t="shared" si="67"/>
      </c>
      <c r="X171" s="122">
        <f t="shared" si="67"/>
      </c>
      <c r="Y171" s="122">
        <f t="shared" si="67"/>
      </c>
      <c r="Z171" s="122">
        <f t="shared" si="67"/>
      </c>
      <c r="AA171" s="122">
        <f t="shared" si="67"/>
      </c>
      <c r="AB171" s="122">
        <f t="shared" si="67"/>
      </c>
      <c r="AC171" s="122">
        <f t="shared" si="67"/>
      </c>
      <c r="AD171" s="122">
        <f t="shared" si="67"/>
      </c>
      <c r="AE171" s="122">
        <f t="shared" si="67"/>
      </c>
      <c r="AF171" s="122">
        <f t="shared" si="67"/>
      </c>
      <c r="AG171" s="122">
        <f t="shared" si="67"/>
      </c>
    </row>
    <row r="172" spans="2:33" ht="14.25" outlineLevel="2">
      <c r="B172" s="275" t="s">
        <v>229</v>
      </c>
      <c r="C172" s="128" t="s">
        <v>174</v>
      </c>
      <c r="D172" s="122">
        <f aca="true" t="shared" si="68" ref="D172:AG172">+IF(D$180=0,"",D190-C190)</f>
        <v>631355</v>
      </c>
      <c r="E172" s="122">
        <f t="shared" si="68"/>
        <v>419627</v>
      </c>
      <c r="F172" s="122">
        <f t="shared" si="68"/>
        <v>430957</v>
      </c>
      <c r="G172" s="122">
        <f t="shared" si="68"/>
        <v>442594</v>
      </c>
      <c r="H172" s="122">
        <f t="shared" si="68"/>
        <v>437708</v>
      </c>
      <c r="I172" s="122">
        <f t="shared" si="68"/>
        <v>449089</v>
      </c>
      <c r="J172" s="122">
        <f t="shared" si="68"/>
        <v>319558</v>
      </c>
      <c r="K172" s="122">
        <f t="shared" si="68"/>
        <v>414950</v>
      </c>
      <c r="L172" s="122">
        <f t="shared" si="68"/>
        <v>424493</v>
      </c>
      <c r="M172" s="122">
        <f t="shared" si="68"/>
      </c>
      <c r="N172" s="122">
        <f t="shared" si="68"/>
      </c>
      <c r="O172" s="122">
        <f t="shared" si="68"/>
      </c>
      <c r="P172" s="122">
        <f t="shared" si="68"/>
      </c>
      <c r="Q172" s="122">
        <f t="shared" si="68"/>
      </c>
      <c r="R172" s="122">
        <f t="shared" si="68"/>
      </c>
      <c r="S172" s="122">
        <f t="shared" si="68"/>
      </c>
      <c r="T172" s="122">
        <f t="shared" si="68"/>
      </c>
      <c r="U172" s="122">
        <f t="shared" si="68"/>
      </c>
      <c r="V172" s="122">
        <f t="shared" si="68"/>
      </c>
      <c r="W172" s="122">
        <f t="shared" si="68"/>
      </c>
      <c r="X172" s="122">
        <f t="shared" si="68"/>
      </c>
      <c r="Y172" s="122">
        <f t="shared" si="68"/>
      </c>
      <c r="Z172" s="122">
        <f t="shared" si="68"/>
      </c>
      <c r="AA172" s="122">
        <f t="shared" si="68"/>
      </c>
      <c r="AB172" s="122">
        <f t="shared" si="68"/>
      </c>
      <c r="AC172" s="122">
        <f t="shared" si="68"/>
      </c>
      <c r="AD172" s="122">
        <f t="shared" si="68"/>
      </c>
      <c r="AE172" s="122">
        <f t="shared" si="68"/>
      </c>
      <c r="AF172" s="122">
        <f t="shared" si="68"/>
      </c>
      <c r="AG172" s="122">
        <f t="shared" si="68"/>
      </c>
    </row>
    <row r="173" spans="2:33" ht="24" outlineLevel="2">
      <c r="B173" s="276" t="s">
        <v>240</v>
      </c>
      <c r="C173" s="213" t="s">
        <v>174</v>
      </c>
      <c r="D173" s="180">
        <f aca="true" t="shared" si="69" ref="D173:AG173">+IF(D$180=0,"",D191-C191)</f>
        <v>210016</v>
      </c>
      <c r="E173" s="180">
        <f t="shared" si="69"/>
        <v>1034644</v>
      </c>
      <c r="F173" s="180">
        <f t="shared" si="69"/>
        <v>81379</v>
      </c>
      <c r="G173" s="180">
        <f t="shared" si="69"/>
        <v>565303</v>
      </c>
      <c r="H173" s="180">
        <f t="shared" si="69"/>
        <v>517798</v>
      </c>
      <c r="I173" s="180">
        <f t="shared" si="69"/>
        <v>161455</v>
      </c>
      <c r="J173" s="180">
        <f t="shared" si="69"/>
        <v>1013099</v>
      </c>
      <c r="K173" s="180">
        <f t="shared" si="69"/>
        <v>96904</v>
      </c>
      <c r="L173" s="180">
        <f t="shared" si="69"/>
        <v>357313</v>
      </c>
      <c r="M173" s="180">
        <f t="shared" si="69"/>
      </c>
      <c r="N173" s="180">
        <f t="shared" si="69"/>
      </c>
      <c r="O173" s="180">
        <f t="shared" si="69"/>
      </c>
      <c r="P173" s="180">
        <f t="shared" si="69"/>
      </c>
      <c r="Q173" s="180">
        <f t="shared" si="69"/>
      </c>
      <c r="R173" s="180">
        <f t="shared" si="69"/>
      </c>
      <c r="S173" s="180">
        <f t="shared" si="69"/>
      </c>
      <c r="T173" s="180">
        <f t="shared" si="69"/>
      </c>
      <c r="U173" s="180">
        <f t="shared" si="69"/>
      </c>
      <c r="V173" s="180">
        <f t="shared" si="69"/>
      </c>
      <c r="W173" s="180">
        <f t="shared" si="69"/>
      </c>
      <c r="X173" s="180">
        <f t="shared" si="69"/>
      </c>
      <c r="Y173" s="180">
        <f t="shared" si="69"/>
      </c>
      <c r="Z173" s="180">
        <f t="shared" si="69"/>
      </c>
      <c r="AA173" s="180">
        <f t="shared" si="69"/>
      </c>
      <c r="AB173" s="180">
        <f t="shared" si="69"/>
      </c>
      <c r="AC173" s="180">
        <f t="shared" si="69"/>
      </c>
      <c r="AD173" s="180">
        <f t="shared" si="69"/>
      </c>
      <c r="AE173" s="180">
        <f t="shared" si="69"/>
      </c>
      <c r="AF173" s="180">
        <f t="shared" si="69"/>
      </c>
      <c r="AG173" s="180">
        <f t="shared" si="69"/>
      </c>
    </row>
    <row r="174" spans="2:33" ht="14.25" outlineLevel="2">
      <c r="B174" s="279" t="s">
        <v>375</v>
      </c>
      <c r="C174" s="254" t="s">
        <v>174</v>
      </c>
      <c r="D174" s="121">
        <f>+IF(D$180=0,"",D192-C192)</f>
        <v>-774239</v>
      </c>
      <c r="E174" s="121">
        <f aca="true" t="shared" si="70" ref="E174:AG174">+IF(E$180=0,"",E192-D192)</f>
        <v>-337828</v>
      </c>
      <c r="F174" s="121">
        <f t="shared" si="70"/>
        <v>1424394</v>
      </c>
      <c r="G174" s="121">
        <f t="shared" si="70"/>
        <v>-1424394</v>
      </c>
      <c r="H174" s="121">
        <f t="shared" si="70"/>
        <v>-510000</v>
      </c>
      <c r="I174" s="121">
        <f t="shared" si="70"/>
        <v>0</v>
      </c>
      <c r="J174" s="121">
        <f t="shared" si="70"/>
        <v>0</v>
      </c>
      <c r="K174" s="121">
        <f t="shared" si="70"/>
        <v>0</v>
      </c>
      <c r="L174" s="121">
        <f t="shared" si="70"/>
        <v>0</v>
      </c>
      <c r="M174" s="121">
        <f t="shared" si="70"/>
      </c>
      <c r="N174" s="121">
        <f t="shared" si="70"/>
      </c>
      <c r="O174" s="121">
        <f t="shared" si="70"/>
      </c>
      <c r="P174" s="121">
        <f t="shared" si="70"/>
      </c>
      <c r="Q174" s="121">
        <f t="shared" si="70"/>
      </c>
      <c r="R174" s="121">
        <f t="shared" si="70"/>
      </c>
      <c r="S174" s="121">
        <f t="shared" si="70"/>
      </c>
      <c r="T174" s="121">
        <f t="shared" si="70"/>
      </c>
      <c r="U174" s="121">
        <f t="shared" si="70"/>
      </c>
      <c r="V174" s="121">
        <f t="shared" si="70"/>
      </c>
      <c r="W174" s="121">
        <f t="shared" si="70"/>
      </c>
      <c r="X174" s="121">
        <f t="shared" si="70"/>
      </c>
      <c r="Y174" s="121">
        <f t="shared" si="70"/>
      </c>
      <c r="Z174" s="121">
        <f t="shared" si="70"/>
      </c>
      <c r="AA174" s="121">
        <f t="shared" si="70"/>
      </c>
      <c r="AB174" s="121">
        <f t="shared" si="70"/>
      </c>
      <c r="AC174" s="121">
        <f t="shared" si="70"/>
      </c>
      <c r="AD174" s="121">
        <f t="shared" si="70"/>
      </c>
      <c r="AE174" s="121">
        <f t="shared" si="70"/>
      </c>
      <c r="AF174" s="121">
        <f t="shared" si="70"/>
      </c>
      <c r="AG174" s="121">
        <f t="shared" si="70"/>
      </c>
    </row>
    <row r="175" spans="2:33" ht="14.25" outlineLevel="2">
      <c r="B175" s="275" t="s">
        <v>372</v>
      </c>
      <c r="C175" s="255" t="s">
        <v>174</v>
      </c>
      <c r="D175" s="122">
        <f>+IF(D$180=0,"",D193-C193)</f>
        <v>8950</v>
      </c>
      <c r="E175" s="122">
        <f aca="true" t="shared" si="71" ref="E175:AG175">+IF(E$180=0,"",E193-D193)</f>
        <v>-179000</v>
      </c>
      <c r="F175" s="122">
        <f t="shared" si="71"/>
        <v>0</v>
      </c>
      <c r="G175" s="122">
        <f t="shared" si="71"/>
        <v>0</v>
      </c>
      <c r="H175" s="122">
        <f t="shared" si="71"/>
        <v>0</v>
      </c>
      <c r="I175" s="122">
        <f t="shared" si="71"/>
        <v>0</v>
      </c>
      <c r="J175" s="122">
        <f t="shared" si="71"/>
        <v>0</v>
      </c>
      <c r="K175" s="122">
        <f t="shared" si="71"/>
        <v>0</v>
      </c>
      <c r="L175" s="122">
        <f t="shared" si="71"/>
        <v>0</v>
      </c>
      <c r="M175" s="122">
        <f t="shared" si="71"/>
      </c>
      <c r="N175" s="122">
        <f t="shared" si="71"/>
      </c>
      <c r="O175" s="122">
        <f t="shared" si="71"/>
      </c>
      <c r="P175" s="122">
        <f t="shared" si="71"/>
      </c>
      <c r="Q175" s="122">
        <f t="shared" si="71"/>
      </c>
      <c r="R175" s="122">
        <f t="shared" si="71"/>
      </c>
      <c r="S175" s="122">
        <f t="shared" si="71"/>
      </c>
      <c r="T175" s="122">
        <f t="shared" si="71"/>
      </c>
      <c r="U175" s="122">
        <f t="shared" si="71"/>
      </c>
      <c r="V175" s="122">
        <f t="shared" si="71"/>
      </c>
      <c r="W175" s="122">
        <f t="shared" si="71"/>
      </c>
      <c r="X175" s="122">
        <f t="shared" si="71"/>
      </c>
      <c r="Y175" s="122">
        <f t="shared" si="71"/>
      </c>
      <c r="Z175" s="122">
        <f t="shared" si="71"/>
      </c>
      <c r="AA175" s="122">
        <f t="shared" si="71"/>
      </c>
      <c r="AB175" s="122">
        <f t="shared" si="71"/>
      </c>
      <c r="AC175" s="122">
        <f t="shared" si="71"/>
      </c>
      <c r="AD175" s="122">
        <f t="shared" si="71"/>
      </c>
      <c r="AE175" s="122">
        <f t="shared" si="71"/>
      </c>
      <c r="AF175" s="122">
        <f t="shared" si="71"/>
      </c>
      <c r="AG175" s="122">
        <f t="shared" si="71"/>
      </c>
    </row>
    <row r="176" spans="2:33" ht="14.25" outlineLevel="2">
      <c r="B176" s="275" t="s">
        <v>373</v>
      </c>
      <c r="C176" s="256" t="s">
        <v>174</v>
      </c>
      <c r="D176" s="253">
        <f>+IF(D$180=0,"",D194-C194)</f>
        <v>-783189</v>
      </c>
      <c r="E176" s="253">
        <f aca="true" t="shared" si="72" ref="E176:AG176">+IF(E$180=0,"",E194-D194)</f>
        <v>-158828</v>
      </c>
      <c r="F176" s="253">
        <f t="shared" si="72"/>
        <v>1424394</v>
      </c>
      <c r="G176" s="253">
        <f t="shared" si="72"/>
        <v>-1424394</v>
      </c>
      <c r="H176" s="253">
        <f t="shared" si="72"/>
        <v>-510000</v>
      </c>
      <c r="I176" s="253">
        <f t="shared" si="72"/>
        <v>0</v>
      </c>
      <c r="J176" s="253">
        <f t="shared" si="72"/>
        <v>0</v>
      </c>
      <c r="K176" s="253">
        <f t="shared" si="72"/>
        <v>0</v>
      </c>
      <c r="L176" s="253">
        <f t="shared" si="72"/>
        <v>0</v>
      </c>
      <c r="M176" s="253">
        <f t="shared" si="72"/>
      </c>
      <c r="N176" s="253">
        <f t="shared" si="72"/>
      </c>
      <c r="O176" s="253">
        <f t="shared" si="72"/>
      </c>
      <c r="P176" s="253">
        <f t="shared" si="72"/>
      </c>
      <c r="Q176" s="253">
        <f t="shared" si="72"/>
      </c>
      <c r="R176" s="253">
        <f t="shared" si="72"/>
      </c>
      <c r="S176" s="253">
        <f t="shared" si="72"/>
      </c>
      <c r="T176" s="253">
        <f t="shared" si="72"/>
      </c>
      <c r="U176" s="253">
        <f t="shared" si="72"/>
      </c>
      <c r="V176" s="253">
        <f t="shared" si="72"/>
      </c>
      <c r="W176" s="253">
        <f t="shared" si="72"/>
      </c>
      <c r="X176" s="253">
        <f t="shared" si="72"/>
      </c>
      <c r="Y176" s="253">
        <f t="shared" si="72"/>
      </c>
      <c r="Z176" s="253">
        <f t="shared" si="72"/>
      </c>
      <c r="AA176" s="253">
        <f t="shared" si="72"/>
      </c>
      <c r="AB176" s="253">
        <f t="shared" si="72"/>
      </c>
      <c r="AC176" s="253">
        <f t="shared" si="72"/>
      </c>
      <c r="AD176" s="253">
        <f t="shared" si="72"/>
      </c>
      <c r="AE176" s="253">
        <f t="shared" si="72"/>
      </c>
      <c r="AF176" s="253">
        <f t="shared" si="72"/>
      </c>
      <c r="AG176" s="253">
        <f t="shared" si="72"/>
      </c>
    </row>
    <row r="177" spans="2:33" ht="24" outlineLevel="2">
      <c r="B177" s="280" t="s">
        <v>371</v>
      </c>
      <c r="C177" s="254" t="s">
        <v>174</v>
      </c>
      <c r="D177" s="121">
        <f>+IF(D$180=0,"",D195-C195)</f>
        <v>-774239</v>
      </c>
      <c r="E177" s="121">
        <f aca="true" t="shared" si="73" ref="E177:AG177">+IF(E$180=0,"",E195-D195)</f>
        <v>-357828</v>
      </c>
      <c r="F177" s="121">
        <f t="shared" si="73"/>
        <v>1444394</v>
      </c>
      <c r="G177" s="121">
        <f t="shared" si="73"/>
        <v>-1424394</v>
      </c>
      <c r="H177" s="121">
        <f t="shared" si="73"/>
        <v>-510000</v>
      </c>
      <c r="I177" s="121">
        <f t="shared" si="73"/>
        <v>0</v>
      </c>
      <c r="J177" s="121">
        <f t="shared" si="73"/>
        <v>0</v>
      </c>
      <c r="K177" s="121">
        <f t="shared" si="73"/>
        <v>0</v>
      </c>
      <c r="L177" s="121">
        <f t="shared" si="73"/>
        <v>0</v>
      </c>
      <c r="M177" s="121">
        <f t="shared" si="73"/>
      </c>
      <c r="N177" s="121">
        <f t="shared" si="73"/>
      </c>
      <c r="O177" s="121">
        <f t="shared" si="73"/>
      </c>
      <c r="P177" s="121">
        <f t="shared" si="73"/>
      </c>
      <c r="Q177" s="121">
        <f t="shared" si="73"/>
      </c>
      <c r="R177" s="121">
        <f t="shared" si="73"/>
      </c>
      <c r="S177" s="121">
        <f t="shared" si="73"/>
      </c>
      <c r="T177" s="121">
        <f t="shared" si="73"/>
      </c>
      <c r="U177" s="121">
        <f t="shared" si="73"/>
      </c>
      <c r="V177" s="121">
        <f t="shared" si="73"/>
      </c>
      <c r="W177" s="121">
        <f t="shared" si="73"/>
      </c>
      <c r="X177" s="121">
        <f t="shared" si="73"/>
      </c>
      <c r="Y177" s="121">
        <f t="shared" si="73"/>
      </c>
      <c r="Z177" s="121">
        <f t="shared" si="73"/>
      </c>
      <c r="AA177" s="121">
        <f t="shared" si="73"/>
      </c>
      <c r="AB177" s="121">
        <f t="shared" si="73"/>
      </c>
      <c r="AC177" s="121">
        <f t="shared" si="73"/>
      </c>
      <c r="AD177" s="121">
        <f t="shared" si="73"/>
      </c>
      <c r="AE177" s="121">
        <f t="shared" si="73"/>
      </c>
      <c r="AF177" s="121">
        <f t="shared" si="73"/>
      </c>
      <c r="AG177" s="121">
        <f t="shared" si="73"/>
      </c>
    </row>
    <row r="178" spans="2:33" ht="24" outlineLevel="2">
      <c r="B178" s="276" t="s">
        <v>374</v>
      </c>
      <c r="C178" s="257" t="s">
        <v>174</v>
      </c>
      <c r="D178" s="180">
        <f>+IF(D$180=0,"",D196-C196)</f>
        <v>8950</v>
      </c>
      <c r="E178" s="180">
        <f aca="true" t="shared" si="74" ref="E178:AG178">+IF(E$180=0,"",E196-D196)</f>
        <v>-179000</v>
      </c>
      <c r="F178" s="180">
        <f t="shared" si="74"/>
        <v>0</v>
      </c>
      <c r="G178" s="180">
        <f t="shared" si="74"/>
        <v>0</v>
      </c>
      <c r="H178" s="180">
        <f t="shared" si="74"/>
        <v>0</v>
      </c>
      <c r="I178" s="180">
        <f t="shared" si="74"/>
        <v>0</v>
      </c>
      <c r="J178" s="180">
        <f t="shared" si="74"/>
        <v>0</v>
      </c>
      <c r="K178" s="180">
        <f t="shared" si="74"/>
        <v>0</v>
      </c>
      <c r="L178" s="180">
        <f t="shared" si="74"/>
        <v>0</v>
      </c>
      <c r="M178" s="180">
        <f t="shared" si="74"/>
      </c>
      <c r="N178" s="180">
        <f t="shared" si="74"/>
      </c>
      <c r="O178" s="180">
        <f t="shared" si="74"/>
      </c>
      <c r="P178" s="180">
        <f t="shared" si="74"/>
      </c>
      <c r="Q178" s="180">
        <f t="shared" si="74"/>
      </c>
      <c r="R178" s="180">
        <f t="shared" si="74"/>
      </c>
      <c r="S178" s="180">
        <f t="shared" si="74"/>
      </c>
      <c r="T178" s="180">
        <f t="shared" si="74"/>
      </c>
      <c r="U178" s="180">
        <f t="shared" si="74"/>
      </c>
      <c r="V178" s="180">
        <f t="shared" si="74"/>
      </c>
      <c r="W178" s="180">
        <f t="shared" si="74"/>
      </c>
      <c r="X178" s="180">
        <f t="shared" si="74"/>
      </c>
      <c r="Y178" s="180">
        <f t="shared" si="74"/>
      </c>
      <c r="Z178" s="180">
        <f t="shared" si="74"/>
      </c>
      <c r="AA178" s="180">
        <f t="shared" si="74"/>
      </c>
      <c r="AB178" s="180">
        <f t="shared" si="74"/>
      </c>
      <c r="AC178" s="180">
        <f t="shared" si="74"/>
      </c>
      <c r="AD178" s="180">
        <f t="shared" si="74"/>
      </c>
      <c r="AE178" s="180">
        <f t="shared" si="74"/>
      </c>
      <c r="AF178" s="180">
        <f t="shared" si="74"/>
      </c>
      <c r="AG178" s="180">
        <f t="shared" si="74"/>
      </c>
    </row>
    <row r="179" spans="2:33" ht="14.25" outlineLevel="1">
      <c r="B179" s="281" t="s">
        <v>232</v>
      </c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2:33" ht="14.25" outlineLevel="2">
      <c r="B180" s="273" t="s">
        <v>58</v>
      </c>
      <c r="C180" s="121">
        <f aca="true" t="shared" si="75" ref="C180:AG180">+C6</f>
        <v>32171429</v>
      </c>
      <c r="D180" s="121">
        <f t="shared" si="75"/>
        <v>31237363</v>
      </c>
      <c r="E180" s="121">
        <f t="shared" si="75"/>
        <v>31567274</v>
      </c>
      <c r="F180" s="121">
        <f t="shared" si="75"/>
        <v>34049571</v>
      </c>
      <c r="G180" s="121">
        <f t="shared" si="75"/>
        <v>33060241</v>
      </c>
      <c r="H180" s="121">
        <f t="shared" si="75"/>
        <v>33878223</v>
      </c>
      <c r="I180" s="121">
        <f t="shared" si="75"/>
        <v>34994570</v>
      </c>
      <c r="J180" s="121">
        <f t="shared" si="75"/>
        <v>35241407</v>
      </c>
      <c r="K180" s="121">
        <f t="shared" si="75"/>
        <v>37019649</v>
      </c>
      <c r="L180" s="121">
        <f t="shared" si="75"/>
        <v>38130238</v>
      </c>
      <c r="M180" s="121">
        <f t="shared" si="75"/>
        <v>0</v>
      </c>
      <c r="N180" s="121">
        <f t="shared" si="75"/>
        <v>0</v>
      </c>
      <c r="O180" s="121">
        <f t="shared" si="75"/>
        <v>0</v>
      </c>
      <c r="P180" s="121">
        <f t="shared" si="75"/>
        <v>0</v>
      </c>
      <c r="Q180" s="121">
        <f t="shared" si="75"/>
        <v>0</v>
      </c>
      <c r="R180" s="121">
        <f t="shared" si="75"/>
        <v>0</v>
      </c>
      <c r="S180" s="121">
        <f t="shared" si="75"/>
        <v>0</v>
      </c>
      <c r="T180" s="121">
        <f t="shared" si="75"/>
        <v>0</v>
      </c>
      <c r="U180" s="121">
        <f t="shared" si="75"/>
        <v>0</v>
      </c>
      <c r="V180" s="121">
        <f t="shared" si="75"/>
        <v>0</v>
      </c>
      <c r="W180" s="121">
        <f t="shared" si="75"/>
        <v>0</v>
      </c>
      <c r="X180" s="121">
        <f t="shared" si="75"/>
        <v>0</v>
      </c>
      <c r="Y180" s="121">
        <f t="shared" si="75"/>
        <v>0</v>
      </c>
      <c r="Z180" s="121">
        <f t="shared" si="75"/>
        <v>0</v>
      </c>
      <c r="AA180" s="121">
        <f t="shared" si="75"/>
        <v>0</v>
      </c>
      <c r="AB180" s="121">
        <f t="shared" si="75"/>
        <v>0</v>
      </c>
      <c r="AC180" s="121">
        <f t="shared" si="75"/>
        <v>0</v>
      </c>
      <c r="AD180" s="121">
        <f t="shared" si="75"/>
        <v>0</v>
      </c>
      <c r="AE180" s="121">
        <f t="shared" si="75"/>
        <v>0</v>
      </c>
      <c r="AF180" s="121">
        <f t="shared" si="75"/>
        <v>0</v>
      </c>
      <c r="AG180" s="121">
        <f t="shared" si="75"/>
        <v>0</v>
      </c>
    </row>
    <row r="181" spans="2:33" ht="14.25" outlineLevel="2">
      <c r="B181" s="274" t="s">
        <v>220</v>
      </c>
      <c r="C181" s="122">
        <f aca="true" t="shared" si="76" ref="C181:AG181">+(C6-C9-C13)</f>
        <v>30549362</v>
      </c>
      <c r="D181" s="122">
        <f t="shared" si="76"/>
        <v>30389535</v>
      </c>
      <c r="E181" s="122">
        <f t="shared" si="76"/>
        <v>31057274</v>
      </c>
      <c r="F181" s="122">
        <f t="shared" si="76"/>
        <v>32115177</v>
      </c>
      <c r="G181" s="122">
        <f t="shared" si="76"/>
        <v>32550241</v>
      </c>
      <c r="H181" s="122">
        <f t="shared" si="76"/>
        <v>33878223</v>
      </c>
      <c r="I181" s="122">
        <f t="shared" si="76"/>
        <v>34994570</v>
      </c>
      <c r="J181" s="122">
        <f t="shared" si="76"/>
        <v>35241407</v>
      </c>
      <c r="K181" s="122">
        <f t="shared" si="76"/>
        <v>37019649</v>
      </c>
      <c r="L181" s="122">
        <f t="shared" si="76"/>
        <v>38130238</v>
      </c>
      <c r="M181" s="122">
        <f t="shared" si="76"/>
        <v>0</v>
      </c>
      <c r="N181" s="122">
        <f t="shared" si="76"/>
        <v>0</v>
      </c>
      <c r="O181" s="122">
        <f t="shared" si="76"/>
        <v>0</v>
      </c>
      <c r="P181" s="122">
        <f t="shared" si="76"/>
        <v>0</v>
      </c>
      <c r="Q181" s="122">
        <f t="shared" si="76"/>
        <v>0</v>
      </c>
      <c r="R181" s="122">
        <f t="shared" si="76"/>
        <v>0</v>
      </c>
      <c r="S181" s="122">
        <f t="shared" si="76"/>
        <v>0</v>
      </c>
      <c r="T181" s="122">
        <f t="shared" si="76"/>
        <v>0</v>
      </c>
      <c r="U181" s="122">
        <f t="shared" si="76"/>
        <v>0</v>
      </c>
      <c r="V181" s="122">
        <f t="shared" si="76"/>
        <v>0</v>
      </c>
      <c r="W181" s="122">
        <f t="shared" si="76"/>
        <v>0</v>
      </c>
      <c r="X181" s="122">
        <f t="shared" si="76"/>
        <v>0</v>
      </c>
      <c r="Y181" s="122">
        <f t="shared" si="76"/>
        <v>0</v>
      </c>
      <c r="Z181" s="122">
        <f t="shared" si="76"/>
        <v>0</v>
      </c>
      <c r="AA181" s="122">
        <f t="shared" si="76"/>
        <v>0</v>
      </c>
      <c r="AB181" s="122">
        <f t="shared" si="76"/>
        <v>0</v>
      </c>
      <c r="AC181" s="122">
        <f t="shared" si="76"/>
        <v>0</v>
      </c>
      <c r="AD181" s="122">
        <f t="shared" si="76"/>
        <v>0</v>
      </c>
      <c r="AE181" s="122">
        <f t="shared" si="76"/>
        <v>0</v>
      </c>
      <c r="AF181" s="122">
        <f t="shared" si="76"/>
        <v>0</v>
      </c>
      <c r="AG181" s="122">
        <f t="shared" si="76"/>
        <v>0</v>
      </c>
    </row>
    <row r="182" spans="2:33" ht="14.25" outlineLevel="2">
      <c r="B182" s="275" t="s">
        <v>219</v>
      </c>
      <c r="C182" s="122">
        <f aca="true" t="shared" si="77" ref="C182:AG182">+(C7-C9)</f>
        <v>30299362</v>
      </c>
      <c r="D182" s="122">
        <f t="shared" si="77"/>
        <v>30389535</v>
      </c>
      <c r="E182" s="122">
        <f t="shared" si="77"/>
        <v>31057274</v>
      </c>
      <c r="F182" s="122">
        <f t="shared" si="77"/>
        <v>32115177</v>
      </c>
      <c r="G182" s="122">
        <f t="shared" si="77"/>
        <v>32550241</v>
      </c>
      <c r="H182" s="122">
        <f t="shared" si="77"/>
        <v>33878223</v>
      </c>
      <c r="I182" s="122">
        <f t="shared" si="77"/>
        <v>34994570</v>
      </c>
      <c r="J182" s="122">
        <f t="shared" si="77"/>
        <v>35241407</v>
      </c>
      <c r="K182" s="122">
        <f t="shared" si="77"/>
        <v>37019649</v>
      </c>
      <c r="L182" s="122">
        <f t="shared" si="77"/>
        <v>38130238</v>
      </c>
      <c r="M182" s="122">
        <f t="shared" si="77"/>
        <v>0</v>
      </c>
      <c r="N182" s="122">
        <f t="shared" si="77"/>
        <v>0</v>
      </c>
      <c r="O182" s="122">
        <f t="shared" si="77"/>
        <v>0</v>
      </c>
      <c r="P182" s="122">
        <f t="shared" si="77"/>
        <v>0</v>
      </c>
      <c r="Q182" s="122">
        <f t="shared" si="77"/>
        <v>0</v>
      </c>
      <c r="R182" s="122">
        <f t="shared" si="77"/>
        <v>0</v>
      </c>
      <c r="S182" s="122">
        <f t="shared" si="77"/>
        <v>0</v>
      </c>
      <c r="T182" s="122">
        <f t="shared" si="77"/>
        <v>0</v>
      </c>
      <c r="U182" s="122">
        <f t="shared" si="77"/>
        <v>0</v>
      </c>
      <c r="V182" s="122">
        <f t="shared" si="77"/>
        <v>0</v>
      </c>
      <c r="W182" s="122">
        <f t="shared" si="77"/>
        <v>0</v>
      </c>
      <c r="X182" s="122">
        <f t="shared" si="77"/>
        <v>0</v>
      </c>
      <c r="Y182" s="122">
        <f t="shared" si="77"/>
        <v>0</v>
      </c>
      <c r="Z182" s="122">
        <f t="shared" si="77"/>
        <v>0</v>
      </c>
      <c r="AA182" s="122">
        <f t="shared" si="77"/>
        <v>0</v>
      </c>
      <c r="AB182" s="122">
        <f t="shared" si="77"/>
        <v>0</v>
      </c>
      <c r="AC182" s="122">
        <f t="shared" si="77"/>
        <v>0</v>
      </c>
      <c r="AD182" s="122">
        <f t="shared" si="77"/>
        <v>0</v>
      </c>
      <c r="AE182" s="122">
        <f t="shared" si="77"/>
        <v>0</v>
      </c>
      <c r="AF182" s="122">
        <f t="shared" si="77"/>
        <v>0</v>
      </c>
      <c r="AG182" s="122">
        <f t="shared" si="77"/>
        <v>0</v>
      </c>
    </row>
    <row r="183" spans="2:33" ht="14.25" outlineLevel="2">
      <c r="B183" s="275" t="s">
        <v>226</v>
      </c>
      <c r="C183" s="122">
        <f aca="true" t="shared" si="78" ref="C183:AG183">+(C10-C13)</f>
        <v>250000</v>
      </c>
      <c r="D183" s="122">
        <f t="shared" si="78"/>
        <v>0</v>
      </c>
      <c r="E183" s="122">
        <f t="shared" si="78"/>
        <v>0</v>
      </c>
      <c r="F183" s="122">
        <f t="shared" si="78"/>
        <v>0</v>
      </c>
      <c r="G183" s="122">
        <f t="shared" si="78"/>
        <v>0</v>
      </c>
      <c r="H183" s="122">
        <f t="shared" si="78"/>
        <v>0</v>
      </c>
      <c r="I183" s="122">
        <f t="shared" si="78"/>
        <v>0</v>
      </c>
      <c r="J183" s="122">
        <f t="shared" si="78"/>
        <v>0</v>
      </c>
      <c r="K183" s="122">
        <f t="shared" si="78"/>
        <v>0</v>
      </c>
      <c r="L183" s="122">
        <f t="shared" si="78"/>
        <v>0</v>
      </c>
      <c r="M183" s="122">
        <f t="shared" si="78"/>
        <v>0</v>
      </c>
      <c r="N183" s="122">
        <f t="shared" si="78"/>
        <v>0</v>
      </c>
      <c r="O183" s="122">
        <f t="shared" si="78"/>
        <v>0</v>
      </c>
      <c r="P183" s="122">
        <f t="shared" si="78"/>
        <v>0</v>
      </c>
      <c r="Q183" s="122">
        <f t="shared" si="78"/>
        <v>0</v>
      </c>
      <c r="R183" s="122">
        <f t="shared" si="78"/>
        <v>0</v>
      </c>
      <c r="S183" s="122">
        <f t="shared" si="78"/>
        <v>0</v>
      </c>
      <c r="T183" s="122">
        <f t="shared" si="78"/>
        <v>0</v>
      </c>
      <c r="U183" s="122">
        <f t="shared" si="78"/>
        <v>0</v>
      </c>
      <c r="V183" s="122">
        <f t="shared" si="78"/>
        <v>0</v>
      </c>
      <c r="W183" s="122">
        <f t="shared" si="78"/>
        <v>0</v>
      </c>
      <c r="X183" s="122">
        <f t="shared" si="78"/>
        <v>0</v>
      </c>
      <c r="Y183" s="122">
        <f t="shared" si="78"/>
        <v>0</v>
      </c>
      <c r="Z183" s="122">
        <f t="shared" si="78"/>
        <v>0</v>
      </c>
      <c r="AA183" s="122">
        <f t="shared" si="78"/>
        <v>0</v>
      </c>
      <c r="AB183" s="122">
        <f t="shared" si="78"/>
        <v>0</v>
      </c>
      <c r="AC183" s="122">
        <f t="shared" si="78"/>
        <v>0</v>
      </c>
      <c r="AD183" s="122">
        <f t="shared" si="78"/>
        <v>0</v>
      </c>
      <c r="AE183" s="122">
        <f t="shared" si="78"/>
        <v>0</v>
      </c>
      <c r="AF183" s="122">
        <f t="shared" si="78"/>
        <v>0</v>
      </c>
      <c r="AG183" s="122">
        <f t="shared" si="78"/>
        <v>0</v>
      </c>
    </row>
    <row r="184" spans="2:33" ht="24" outlineLevel="2">
      <c r="B184" s="275" t="s">
        <v>242</v>
      </c>
      <c r="C184" s="122">
        <f aca="true" t="shared" si="79" ref="C184:AG184">+(C10-C11-C13)</f>
        <v>250000</v>
      </c>
      <c r="D184" s="122">
        <f t="shared" si="79"/>
        <v>0</v>
      </c>
      <c r="E184" s="122">
        <f t="shared" si="79"/>
        <v>0</v>
      </c>
      <c r="F184" s="122">
        <f t="shared" si="79"/>
        <v>0</v>
      </c>
      <c r="G184" s="122">
        <f t="shared" si="79"/>
        <v>0</v>
      </c>
      <c r="H184" s="122">
        <f t="shared" si="79"/>
        <v>0</v>
      </c>
      <c r="I184" s="122">
        <f t="shared" si="79"/>
        <v>0</v>
      </c>
      <c r="J184" s="122">
        <f t="shared" si="79"/>
        <v>0</v>
      </c>
      <c r="K184" s="122">
        <f t="shared" si="79"/>
        <v>0</v>
      </c>
      <c r="L184" s="122">
        <f t="shared" si="79"/>
        <v>0</v>
      </c>
      <c r="M184" s="122">
        <f t="shared" si="79"/>
        <v>0</v>
      </c>
      <c r="N184" s="122">
        <f t="shared" si="79"/>
        <v>0</v>
      </c>
      <c r="O184" s="122">
        <f t="shared" si="79"/>
        <v>0</v>
      </c>
      <c r="P184" s="122">
        <f t="shared" si="79"/>
        <v>0</v>
      </c>
      <c r="Q184" s="122">
        <f t="shared" si="79"/>
        <v>0</v>
      </c>
      <c r="R184" s="122">
        <f t="shared" si="79"/>
        <v>0</v>
      </c>
      <c r="S184" s="122">
        <f t="shared" si="79"/>
        <v>0</v>
      </c>
      <c r="T184" s="122">
        <f t="shared" si="79"/>
        <v>0</v>
      </c>
      <c r="U184" s="122">
        <f t="shared" si="79"/>
        <v>0</v>
      </c>
      <c r="V184" s="122">
        <f t="shared" si="79"/>
        <v>0</v>
      </c>
      <c r="W184" s="122">
        <f t="shared" si="79"/>
        <v>0</v>
      </c>
      <c r="X184" s="122">
        <f t="shared" si="79"/>
        <v>0</v>
      </c>
      <c r="Y184" s="122">
        <f t="shared" si="79"/>
        <v>0</v>
      </c>
      <c r="Z184" s="122">
        <f t="shared" si="79"/>
        <v>0</v>
      </c>
      <c r="AA184" s="122">
        <f t="shared" si="79"/>
        <v>0</v>
      </c>
      <c r="AB184" s="122">
        <f t="shared" si="79"/>
        <v>0</v>
      </c>
      <c r="AC184" s="122">
        <f t="shared" si="79"/>
        <v>0</v>
      </c>
      <c r="AD184" s="122">
        <f t="shared" si="79"/>
        <v>0</v>
      </c>
      <c r="AE184" s="122">
        <f t="shared" si="79"/>
        <v>0</v>
      </c>
      <c r="AF184" s="122">
        <f t="shared" si="79"/>
        <v>0</v>
      </c>
      <c r="AG184" s="122">
        <f t="shared" si="79"/>
        <v>0</v>
      </c>
    </row>
    <row r="185" spans="2:33" ht="14.25" outlineLevel="2">
      <c r="B185" s="276" t="s">
        <v>227</v>
      </c>
      <c r="C185" s="180">
        <f aca="true" t="shared" si="80" ref="C185:AG185">+C11</f>
        <v>0</v>
      </c>
      <c r="D185" s="180">
        <f t="shared" si="80"/>
        <v>0</v>
      </c>
      <c r="E185" s="180">
        <f t="shared" si="80"/>
        <v>0</v>
      </c>
      <c r="F185" s="180">
        <f t="shared" si="80"/>
        <v>0</v>
      </c>
      <c r="G185" s="180">
        <f t="shared" si="80"/>
        <v>0</v>
      </c>
      <c r="H185" s="180">
        <f t="shared" si="80"/>
        <v>0</v>
      </c>
      <c r="I185" s="180">
        <f t="shared" si="80"/>
        <v>0</v>
      </c>
      <c r="J185" s="180">
        <f t="shared" si="80"/>
        <v>0</v>
      </c>
      <c r="K185" s="180">
        <f t="shared" si="80"/>
        <v>0</v>
      </c>
      <c r="L185" s="180">
        <f t="shared" si="80"/>
        <v>0</v>
      </c>
      <c r="M185" s="180">
        <f t="shared" si="80"/>
        <v>0</v>
      </c>
      <c r="N185" s="180">
        <f t="shared" si="80"/>
        <v>0</v>
      </c>
      <c r="O185" s="180">
        <f t="shared" si="80"/>
        <v>0</v>
      </c>
      <c r="P185" s="180">
        <f t="shared" si="80"/>
        <v>0</v>
      </c>
      <c r="Q185" s="180">
        <f t="shared" si="80"/>
        <v>0</v>
      </c>
      <c r="R185" s="180">
        <f t="shared" si="80"/>
        <v>0</v>
      </c>
      <c r="S185" s="180">
        <f t="shared" si="80"/>
        <v>0</v>
      </c>
      <c r="T185" s="180">
        <f t="shared" si="80"/>
        <v>0</v>
      </c>
      <c r="U185" s="180">
        <f t="shared" si="80"/>
        <v>0</v>
      </c>
      <c r="V185" s="180">
        <f t="shared" si="80"/>
        <v>0</v>
      </c>
      <c r="W185" s="180">
        <f t="shared" si="80"/>
        <v>0</v>
      </c>
      <c r="X185" s="180">
        <f t="shared" si="80"/>
        <v>0</v>
      </c>
      <c r="Y185" s="180">
        <f t="shared" si="80"/>
        <v>0</v>
      </c>
      <c r="Z185" s="180">
        <f t="shared" si="80"/>
        <v>0</v>
      </c>
      <c r="AA185" s="180">
        <f t="shared" si="80"/>
        <v>0</v>
      </c>
      <c r="AB185" s="180">
        <f t="shared" si="80"/>
        <v>0</v>
      </c>
      <c r="AC185" s="180">
        <f t="shared" si="80"/>
        <v>0</v>
      </c>
      <c r="AD185" s="180">
        <f t="shared" si="80"/>
        <v>0</v>
      </c>
      <c r="AE185" s="180">
        <f t="shared" si="80"/>
        <v>0</v>
      </c>
      <c r="AF185" s="180">
        <f t="shared" si="80"/>
        <v>0</v>
      </c>
      <c r="AG185" s="180">
        <f t="shared" si="80"/>
        <v>0</v>
      </c>
    </row>
    <row r="186" spans="2:33" ht="14.25" outlineLevel="2">
      <c r="B186" s="273" t="s">
        <v>45</v>
      </c>
      <c r="C186" s="121">
        <f aca="true" t="shared" si="81" ref="C186:AG186">+C14</f>
        <v>31540829</v>
      </c>
      <c r="D186" s="121">
        <f t="shared" si="81"/>
        <v>30862737</v>
      </c>
      <c r="E186" s="121">
        <f t="shared" si="81"/>
        <v>31156008</v>
      </c>
      <c r="F186" s="121">
        <f t="shared" si="81"/>
        <v>33611274</v>
      </c>
      <c r="G186" s="121">
        <f t="shared" si="81"/>
        <v>31366241</v>
      </c>
      <c r="H186" s="121">
        <f t="shared" si="81"/>
        <v>31928223</v>
      </c>
      <c r="I186" s="121">
        <f t="shared" si="81"/>
        <v>32544570</v>
      </c>
      <c r="J186" s="121">
        <f t="shared" si="81"/>
        <v>34741407</v>
      </c>
      <c r="K186" s="121">
        <f t="shared" si="81"/>
        <v>34453073</v>
      </c>
      <c r="L186" s="121">
        <f t="shared" si="81"/>
        <v>36436603</v>
      </c>
      <c r="M186" s="121">
        <f t="shared" si="81"/>
        <v>0</v>
      </c>
      <c r="N186" s="121">
        <f t="shared" si="81"/>
        <v>0</v>
      </c>
      <c r="O186" s="121">
        <f t="shared" si="81"/>
        <v>0</v>
      </c>
      <c r="P186" s="121">
        <f t="shared" si="81"/>
        <v>0</v>
      </c>
      <c r="Q186" s="121">
        <f t="shared" si="81"/>
        <v>0</v>
      </c>
      <c r="R186" s="121">
        <f t="shared" si="81"/>
        <v>0</v>
      </c>
      <c r="S186" s="121">
        <f t="shared" si="81"/>
        <v>0</v>
      </c>
      <c r="T186" s="121">
        <f t="shared" si="81"/>
        <v>0</v>
      </c>
      <c r="U186" s="121">
        <f t="shared" si="81"/>
        <v>0</v>
      </c>
      <c r="V186" s="121">
        <f t="shared" si="81"/>
        <v>0</v>
      </c>
      <c r="W186" s="121">
        <f t="shared" si="81"/>
        <v>0</v>
      </c>
      <c r="X186" s="121">
        <f t="shared" si="81"/>
        <v>0</v>
      </c>
      <c r="Y186" s="121">
        <f t="shared" si="81"/>
        <v>0</v>
      </c>
      <c r="Z186" s="121">
        <f t="shared" si="81"/>
        <v>0</v>
      </c>
      <c r="AA186" s="121">
        <f t="shared" si="81"/>
        <v>0</v>
      </c>
      <c r="AB186" s="121">
        <f t="shared" si="81"/>
        <v>0</v>
      </c>
      <c r="AC186" s="121">
        <f t="shared" si="81"/>
        <v>0</v>
      </c>
      <c r="AD186" s="121">
        <f t="shared" si="81"/>
        <v>0</v>
      </c>
      <c r="AE186" s="121">
        <f t="shared" si="81"/>
        <v>0</v>
      </c>
      <c r="AF186" s="121">
        <f t="shared" si="81"/>
        <v>0</v>
      </c>
      <c r="AG186" s="121">
        <f t="shared" si="81"/>
        <v>0</v>
      </c>
    </row>
    <row r="187" spans="2:33" ht="24" outlineLevel="2">
      <c r="B187" s="277" t="s">
        <v>221</v>
      </c>
      <c r="C187" s="122">
        <f aca="true" t="shared" si="82" ref="C187:AG187">+C14-C20-C25</f>
        <v>28512072</v>
      </c>
      <c r="D187" s="122">
        <f t="shared" si="82"/>
        <v>27645630</v>
      </c>
      <c r="E187" s="122">
        <f t="shared" si="82"/>
        <v>29036008</v>
      </c>
      <c r="F187" s="122">
        <f t="shared" si="82"/>
        <v>29508344</v>
      </c>
      <c r="G187" s="122">
        <f t="shared" si="82"/>
        <v>30366241</v>
      </c>
      <c r="H187" s="122">
        <f t="shared" si="82"/>
        <v>31928223</v>
      </c>
      <c r="I187" s="122">
        <f t="shared" si="82"/>
        <v>32544570</v>
      </c>
      <c r="J187" s="122">
        <f t="shared" si="82"/>
        <v>34741407</v>
      </c>
      <c r="K187" s="122">
        <f t="shared" si="82"/>
        <v>34453073</v>
      </c>
      <c r="L187" s="122">
        <f t="shared" si="82"/>
        <v>36436603</v>
      </c>
      <c r="M187" s="122">
        <f t="shared" si="82"/>
        <v>0</v>
      </c>
      <c r="N187" s="122">
        <f t="shared" si="82"/>
        <v>0</v>
      </c>
      <c r="O187" s="122">
        <f t="shared" si="82"/>
        <v>0</v>
      </c>
      <c r="P187" s="122">
        <f t="shared" si="82"/>
        <v>0</v>
      </c>
      <c r="Q187" s="122">
        <f t="shared" si="82"/>
        <v>0</v>
      </c>
      <c r="R187" s="122">
        <f t="shared" si="82"/>
        <v>0</v>
      </c>
      <c r="S187" s="122">
        <f t="shared" si="82"/>
        <v>0</v>
      </c>
      <c r="T187" s="122">
        <f t="shared" si="82"/>
        <v>0</v>
      </c>
      <c r="U187" s="122">
        <f t="shared" si="82"/>
        <v>0</v>
      </c>
      <c r="V187" s="122">
        <f t="shared" si="82"/>
        <v>0</v>
      </c>
      <c r="W187" s="122">
        <f t="shared" si="82"/>
        <v>0</v>
      </c>
      <c r="X187" s="122">
        <f t="shared" si="82"/>
        <v>0</v>
      </c>
      <c r="Y187" s="122">
        <f t="shared" si="82"/>
        <v>0</v>
      </c>
      <c r="Z187" s="122">
        <f t="shared" si="82"/>
        <v>0</v>
      </c>
      <c r="AA187" s="122">
        <f t="shared" si="82"/>
        <v>0</v>
      </c>
      <c r="AB187" s="122">
        <f t="shared" si="82"/>
        <v>0</v>
      </c>
      <c r="AC187" s="122">
        <f t="shared" si="82"/>
        <v>0</v>
      </c>
      <c r="AD187" s="122">
        <f t="shared" si="82"/>
        <v>0</v>
      </c>
      <c r="AE187" s="122">
        <f t="shared" si="82"/>
        <v>0</v>
      </c>
      <c r="AF187" s="122">
        <f t="shared" si="82"/>
        <v>0</v>
      </c>
      <c r="AG187" s="122">
        <f t="shared" si="82"/>
        <v>0</v>
      </c>
    </row>
    <row r="188" spans="2:33" ht="14.25" outlineLevel="2">
      <c r="B188" s="278" t="s">
        <v>228</v>
      </c>
      <c r="C188" s="122">
        <f aca="true" t="shared" si="83" ref="C188:AG188">+C15</f>
        <v>26930366</v>
      </c>
      <c r="D188" s="122">
        <f t="shared" si="83"/>
        <v>27651737</v>
      </c>
      <c r="E188" s="122">
        <f t="shared" si="83"/>
        <v>29036008</v>
      </c>
      <c r="F188" s="122">
        <f t="shared" si="83"/>
        <v>29508344</v>
      </c>
      <c r="G188" s="122">
        <f t="shared" si="83"/>
        <v>30366241</v>
      </c>
      <c r="H188" s="122">
        <f t="shared" si="83"/>
        <v>31221747</v>
      </c>
      <c r="I188" s="122">
        <f t="shared" si="83"/>
        <v>31702291</v>
      </c>
      <c r="J188" s="122">
        <f t="shared" si="83"/>
        <v>33131348</v>
      </c>
      <c r="K188" s="122">
        <f t="shared" si="83"/>
        <v>33556802</v>
      </c>
      <c r="L188" s="122">
        <f t="shared" si="83"/>
        <v>34328608</v>
      </c>
      <c r="M188" s="122">
        <f t="shared" si="83"/>
        <v>0</v>
      </c>
      <c r="N188" s="122">
        <f t="shared" si="83"/>
        <v>0</v>
      </c>
      <c r="O188" s="122">
        <f t="shared" si="83"/>
        <v>0</v>
      </c>
      <c r="P188" s="122">
        <f t="shared" si="83"/>
        <v>0</v>
      </c>
      <c r="Q188" s="122">
        <f t="shared" si="83"/>
        <v>0</v>
      </c>
      <c r="R188" s="122">
        <f t="shared" si="83"/>
        <v>0</v>
      </c>
      <c r="S188" s="122">
        <f t="shared" si="83"/>
        <v>0</v>
      </c>
      <c r="T188" s="122">
        <f t="shared" si="83"/>
        <v>0</v>
      </c>
      <c r="U188" s="122">
        <f t="shared" si="83"/>
        <v>0</v>
      </c>
      <c r="V188" s="122">
        <f t="shared" si="83"/>
        <v>0</v>
      </c>
      <c r="W188" s="122">
        <f t="shared" si="83"/>
        <v>0</v>
      </c>
      <c r="X188" s="122">
        <f t="shared" si="83"/>
        <v>0</v>
      </c>
      <c r="Y188" s="122">
        <f t="shared" si="83"/>
        <v>0</v>
      </c>
      <c r="Z188" s="122">
        <f t="shared" si="83"/>
        <v>0</v>
      </c>
      <c r="AA188" s="122">
        <f t="shared" si="83"/>
        <v>0</v>
      </c>
      <c r="AB188" s="122">
        <f t="shared" si="83"/>
        <v>0</v>
      </c>
      <c r="AC188" s="122">
        <f t="shared" si="83"/>
        <v>0</v>
      </c>
      <c r="AD188" s="122">
        <f t="shared" si="83"/>
        <v>0</v>
      </c>
      <c r="AE188" s="122">
        <f t="shared" si="83"/>
        <v>0</v>
      </c>
      <c r="AF188" s="122">
        <f t="shared" si="83"/>
        <v>0</v>
      </c>
      <c r="AG188" s="122">
        <f t="shared" si="83"/>
        <v>0</v>
      </c>
    </row>
    <row r="189" spans="2:33" ht="24" outlineLevel="2">
      <c r="B189" s="275" t="s">
        <v>230</v>
      </c>
      <c r="C189" s="122">
        <f aca="true" t="shared" si="84" ref="C189:AG189">+C15-C20</f>
        <v>26740366</v>
      </c>
      <c r="D189" s="122">
        <f t="shared" si="84"/>
        <v>27451737</v>
      </c>
      <c r="E189" s="122">
        <f t="shared" si="84"/>
        <v>29036008</v>
      </c>
      <c r="F189" s="122">
        <f t="shared" si="84"/>
        <v>29508344</v>
      </c>
      <c r="G189" s="122">
        <f t="shared" si="84"/>
        <v>30366241</v>
      </c>
      <c r="H189" s="122">
        <f t="shared" si="84"/>
        <v>31221747</v>
      </c>
      <c r="I189" s="122">
        <f t="shared" si="84"/>
        <v>31702291</v>
      </c>
      <c r="J189" s="122">
        <f t="shared" si="84"/>
        <v>33131348</v>
      </c>
      <c r="K189" s="122">
        <f t="shared" si="84"/>
        <v>33556802</v>
      </c>
      <c r="L189" s="122">
        <f t="shared" si="84"/>
        <v>34328608</v>
      </c>
      <c r="M189" s="122">
        <f t="shared" si="84"/>
        <v>0</v>
      </c>
      <c r="N189" s="122">
        <f t="shared" si="84"/>
        <v>0</v>
      </c>
      <c r="O189" s="122">
        <f t="shared" si="84"/>
        <v>0</v>
      </c>
      <c r="P189" s="122">
        <f t="shared" si="84"/>
        <v>0</v>
      </c>
      <c r="Q189" s="122">
        <f t="shared" si="84"/>
        <v>0</v>
      </c>
      <c r="R189" s="122">
        <f t="shared" si="84"/>
        <v>0</v>
      </c>
      <c r="S189" s="122">
        <f t="shared" si="84"/>
        <v>0</v>
      </c>
      <c r="T189" s="122">
        <f t="shared" si="84"/>
        <v>0</v>
      </c>
      <c r="U189" s="122">
        <f t="shared" si="84"/>
        <v>0</v>
      </c>
      <c r="V189" s="122">
        <f t="shared" si="84"/>
        <v>0</v>
      </c>
      <c r="W189" s="122">
        <f t="shared" si="84"/>
        <v>0</v>
      </c>
      <c r="X189" s="122">
        <f t="shared" si="84"/>
        <v>0</v>
      </c>
      <c r="Y189" s="122">
        <f t="shared" si="84"/>
        <v>0</v>
      </c>
      <c r="Z189" s="122">
        <f t="shared" si="84"/>
        <v>0</v>
      </c>
      <c r="AA189" s="122">
        <f t="shared" si="84"/>
        <v>0</v>
      </c>
      <c r="AB189" s="122">
        <f t="shared" si="84"/>
        <v>0</v>
      </c>
      <c r="AC189" s="122">
        <f t="shared" si="84"/>
        <v>0</v>
      </c>
      <c r="AD189" s="122">
        <f t="shared" si="84"/>
        <v>0</v>
      </c>
      <c r="AE189" s="122">
        <f t="shared" si="84"/>
        <v>0</v>
      </c>
      <c r="AF189" s="122">
        <f t="shared" si="84"/>
        <v>0</v>
      </c>
      <c r="AG189" s="122">
        <f t="shared" si="84"/>
        <v>0</v>
      </c>
    </row>
    <row r="190" spans="2:33" ht="14.25" outlineLevel="2">
      <c r="B190" s="275" t="s">
        <v>229</v>
      </c>
      <c r="C190" s="122">
        <f aca="true" t="shared" si="85" ref="C190:AG190">+C61</f>
        <v>14910403</v>
      </c>
      <c r="D190" s="122">
        <f t="shared" si="85"/>
        <v>15541758</v>
      </c>
      <c r="E190" s="122">
        <f t="shared" si="85"/>
        <v>15961385</v>
      </c>
      <c r="F190" s="122">
        <f t="shared" si="85"/>
        <v>16392342</v>
      </c>
      <c r="G190" s="122">
        <f t="shared" si="85"/>
        <v>16834936</v>
      </c>
      <c r="H190" s="122">
        <f t="shared" si="85"/>
        <v>17272644</v>
      </c>
      <c r="I190" s="122">
        <f t="shared" si="85"/>
        <v>17721733</v>
      </c>
      <c r="J190" s="122">
        <f t="shared" si="85"/>
        <v>18041291</v>
      </c>
      <c r="K190" s="122">
        <f t="shared" si="85"/>
        <v>18456241</v>
      </c>
      <c r="L190" s="122">
        <f t="shared" si="85"/>
        <v>18880734</v>
      </c>
      <c r="M190" s="122">
        <f t="shared" si="85"/>
        <v>0</v>
      </c>
      <c r="N190" s="122">
        <f t="shared" si="85"/>
        <v>0</v>
      </c>
      <c r="O190" s="122">
        <f t="shared" si="85"/>
        <v>0</v>
      </c>
      <c r="P190" s="122">
        <f t="shared" si="85"/>
        <v>0</v>
      </c>
      <c r="Q190" s="122">
        <f t="shared" si="85"/>
        <v>0</v>
      </c>
      <c r="R190" s="122">
        <f t="shared" si="85"/>
        <v>0</v>
      </c>
      <c r="S190" s="122">
        <f t="shared" si="85"/>
        <v>0</v>
      </c>
      <c r="T190" s="122">
        <f t="shared" si="85"/>
        <v>0</v>
      </c>
      <c r="U190" s="122">
        <f t="shared" si="85"/>
        <v>0</v>
      </c>
      <c r="V190" s="122">
        <f t="shared" si="85"/>
        <v>0</v>
      </c>
      <c r="W190" s="122">
        <f t="shared" si="85"/>
        <v>0</v>
      </c>
      <c r="X190" s="122">
        <f t="shared" si="85"/>
        <v>0</v>
      </c>
      <c r="Y190" s="122">
        <f t="shared" si="85"/>
        <v>0</v>
      </c>
      <c r="Z190" s="122">
        <f t="shared" si="85"/>
        <v>0</v>
      </c>
      <c r="AA190" s="122">
        <f t="shared" si="85"/>
        <v>0</v>
      </c>
      <c r="AB190" s="122">
        <f t="shared" si="85"/>
        <v>0</v>
      </c>
      <c r="AC190" s="122">
        <f t="shared" si="85"/>
        <v>0</v>
      </c>
      <c r="AD190" s="122">
        <f t="shared" si="85"/>
        <v>0</v>
      </c>
      <c r="AE190" s="122">
        <f t="shared" si="85"/>
        <v>0</v>
      </c>
      <c r="AF190" s="122">
        <f t="shared" si="85"/>
        <v>0</v>
      </c>
      <c r="AG190" s="122">
        <f t="shared" si="85"/>
        <v>0</v>
      </c>
    </row>
    <row r="191" spans="2:33" ht="24" outlineLevel="2">
      <c r="B191" s="276" t="s">
        <v>240</v>
      </c>
      <c r="C191" s="180">
        <f aca="true" t="shared" si="86" ref="C191:AG191">+C15-C61-C22-C17</f>
        <v>11289963</v>
      </c>
      <c r="D191" s="180">
        <f t="shared" si="86"/>
        <v>11499979</v>
      </c>
      <c r="E191" s="180">
        <f t="shared" si="86"/>
        <v>12534623</v>
      </c>
      <c r="F191" s="180">
        <f t="shared" si="86"/>
        <v>12616002</v>
      </c>
      <c r="G191" s="180">
        <f t="shared" si="86"/>
        <v>13181305</v>
      </c>
      <c r="H191" s="180">
        <f t="shared" si="86"/>
        <v>13699103</v>
      </c>
      <c r="I191" s="180">
        <f t="shared" si="86"/>
        <v>13860558</v>
      </c>
      <c r="J191" s="180">
        <f t="shared" si="86"/>
        <v>14873657</v>
      </c>
      <c r="K191" s="180">
        <f t="shared" si="86"/>
        <v>14970561</v>
      </c>
      <c r="L191" s="180">
        <f t="shared" si="86"/>
        <v>15327874</v>
      </c>
      <c r="M191" s="180">
        <f t="shared" si="86"/>
        <v>0</v>
      </c>
      <c r="N191" s="180">
        <f t="shared" si="86"/>
        <v>0</v>
      </c>
      <c r="O191" s="180">
        <f t="shared" si="86"/>
        <v>0</v>
      </c>
      <c r="P191" s="180">
        <f t="shared" si="86"/>
        <v>0</v>
      </c>
      <c r="Q191" s="180">
        <f t="shared" si="86"/>
        <v>0</v>
      </c>
      <c r="R191" s="180">
        <f t="shared" si="86"/>
        <v>0</v>
      </c>
      <c r="S191" s="180">
        <f t="shared" si="86"/>
        <v>0</v>
      </c>
      <c r="T191" s="180">
        <f t="shared" si="86"/>
        <v>0</v>
      </c>
      <c r="U191" s="180">
        <f t="shared" si="86"/>
        <v>0</v>
      </c>
      <c r="V191" s="180">
        <f t="shared" si="86"/>
        <v>0</v>
      </c>
      <c r="W191" s="180">
        <f t="shared" si="86"/>
        <v>0</v>
      </c>
      <c r="X191" s="180">
        <f t="shared" si="86"/>
        <v>0</v>
      </c>
      <c r="Y191" s="180">
        <f t="shared" si="86"/>
        <v>0</v>
      </c>
      <c r="Z191" s="180">
        <f t="shared" si="86"/>
        <v>0</v>
      </c>
      <c r="AA191" s="180">
        <f t="shared" si="86"/>
        <v>0</v>
      </c>
      <c r="AB191" s="180">
        <f t="shared" si="86"/>
        <v>0</v>
      </c>
      <c r="AC191" s="180">
        <f t="shared" si="86"/>
        <v>0</v>
      </c>
      <c r="AD191" s="180">
        <f t="shared" si="86"/>
        <v>0</v>
      </c>
      <c r="AE191" s="180">
        <f t="shared" si="86"/>
        <v>0</v>
      </c>
      <c r="AF191" s="180">
        <f t="shared" si="86"/>
        <v>0</v>
      </c>
      <c r="AG191" s="180">
        <f t="shared" si="86"/>
        <v>0</v>
      </c>
    </row>
    <row r="192" spans="2:33" ht="14.25" outlineLevel="2">
      <c r="B192" s="279" t="s">
        <v>375</v>
      </c>
      <c r="C192" s="121">
        <f>+C193+C194</f>
        <v>1622067</v>
      </c>
      <c r="D192" s="121">
        <f aca="true" t="shared" si="87" ref="D192:AG192">+D193+D194</f>
        <v>847828</v>
      </c>
      <c r="E192" s="121">
        <f t="shared" si="87"/>
        <v>510000</v>
      </c>
      <c r="F192" s="121">
        <f t="shared" si="87"/>
        <v>1934394</v>
      </c>
      <c r="G192" s="121">
        <f t="shared" si="87"/>
        <v>510000</v>
      </c>
      <c r="H192" s="121">
        <f t="shared" si="87"/>
        <v>0</v>
      </c>
      <c r="I192" s="121">
        <f t="shared" si="87"/>
        <v>0</v>
      </c>
      <c r="J192" s="121">
        <f t="shared" si="87"/>
        <v>0</v>
      </c>
      <c r="K192" s="121">
        <f t="shared" si="87"/>
        <v>0</v>
      </c>
      <c r="L192" s="121">
        <f t="shared" si="87"/>
        <v>0</v>
      </c>
      <c r="M192" s="121">
        <f t="shared" si="87"/>
        <v>0</v>
      </c>
      <c r="N192" s="121">
        <f t="shared" si="87"/>
        <v>0</v>
      </c>
      <c r="O192" s="121">
        <f t="shared" si="87"/>
        <v>0</v>
      </c>
      <c r="P192" s="121">
        <f t="shared" si="87"/>
        <v>0</v>
      </c>
      <c r="Q192" s="121">
        <f t="shared" si="87"/>
        <v>0</v>
      </c>
      <c r="R192" s="121">
        <f t="shared" si="87"/>
        <v>0</v>
      </c>
      <c r="S192" s="121">
        <f t="shared" si="87"/>
        <v>0</v>
      </c>
      <c r="T192" s="121">
        <f t="shared" si="87"/>
        <v>0</v>
      </c>
      <c r="U192" s="121">
        <f t="shared" si="87"/>
        <v>0</v>
      </c>
      <c r="V192" s="121">
        <f t="shared" si="87"/>
        <v>0</v>
      </c>
      <c r="W192" s="121">
        <f t="shared" si="87"/>
        <v>0</v>
      </c>
      <c r="X192" s="121">
        <f t="shared" si="87"/>
        <v>0</v>
      </c>
      <c r="Y192" s="121">
        <f t="shared" si="87"/>
        <v>0</v>
      </c>
      <c r="Z192" s="121">
        <f t="shared" si="87"/>
        <v>0</v>
      </c>
      <c r="AA192" s="121">
        <f t="shared" si="87"/>
        <v>0</v>
      </c>
      <c r="AB192" s="121">
        <f t="shared" si="87"/>
        <v>0</v>
      </c>
      <c r="AC192" s="121">
        <f t="shared" si="87"/>
        <v>0</v>
      </c>
      <c r="AD192" s="121">
        <f t="shared" si="87"/>
        <v>0</v>
      </c>
      <c r="AE192" s="121">
        <f t="shared" si="87"/>
        <v>0</v>
      </c>
      <c r="AF192" s="121">
        <f t="shared" si="87"/>
        <v>0</v>
      </c>
      <c r="AG192" s="121">
        <f t="shared" si="87"/>
        <v>0</v>
      </c>
    </row>
    <row r="193" spans="2:33" ht="14.25" outlineLevel="2">
      <c r="B193" s="275" t="s">
        <v>372</v>
      </c>
      <c r="C193" s="122">
        <f>+C9</f>
        <v>170050</v>
      </c>
      <c r="D193" s="122">
        <f aca="true" t="shared" si="88" ref="D193:AG193">+D9</f>
        <v>179000</v>
      </c>
      <c r="E193" s="122">
        <f t="shared" si="88"/>
        <v>0</v>
      </c>
      <c r="F193" s="122">
        <f t="shared" si="88"/>
        <v>0</v>
      </c>
      <c r="G193" s="122">
        <f t="shared" si="88"/>
        <v>0</v>
      </c>
      <c r="H193" s="122">
        <f t="shared" si="88"/>
        <v>0</v>
      </c>
      <c r="I193" s="122">
        <f t="shared" si="88"/>
        <v>0</v>
      </c>
      <c r="J193" s="122">
        <f t="shared" si="88"/>
        <v>0</v>
      </c>
      <c r="K193" s="122">
        <f t="shared" si="88"/>
        <v>0</v>
      </c>
      <c r="L193" s="122">
        <f t="shared" si="88"/>
        <v>0</v>
      </c>
      <c r="M193" s="122">
        <f t="shared" si="88"/>
        <v>0</v>
      </c>
      <c r="N193" s="122">
        <f t="shared" si="88"/>
        <v>0</v>
      </c>
      <c r="O193" s="122">
        <f t="shared" si="88"/>
        <v>0</v>
      </c>
      <c r="P193" s="122">
        <f t="shared" si="88"/>
        <v>0</v>
      </c>
      <c r="Q193" s="122">
        <f t="shared" si="88"/>
        <v>0</v>
      </c>
      <c r="R193" s="122">
        <f t="shared" si="88"/>
        <v>0</v>
      </c>
      <c r="S193" s="122">
        <f t="shared" si="88"/>
        <v>0</v>
      </c>
      <c r="T193" s="122">
        <f t="shared" si="88"/>
        <v>0</v>
      </c>
      <c r="U193" s="122">
        <f t="shared" si="88"/>
        <v>0</v>
      </c>
      <c r="V193" s="122">
        <f t="shared" si="88"/>
        <v>0</v>
      </c>
      <c r="W193" s="122">
        <f t="shared" si="88"/>
        <v>0</v>
      </c>
      <c r="X193" s="122">
        <f t="shared" si="88"/>
        <v>0</v>
      </c>
      <c r="Y193" s="122">
        <f t="shared" si="88"/>
        <v>0</v>
      </c>
      <c r="Z193" s="122">
        <f t="shared" si="88"/>
        <v>0</v>
      </c>
      <c r="AA193" s="122">
        <f t="shared" si="88"/>
        <v>0</v>
      </c>
      <c r="AB193" s="122">
        <f t="shared" si="88"/>
        <v>0</v>
      </c>
      <c r="AC193" s="122">
        <f t="shared" si="88"/>
        <v>0</v>
      </c>
      <c r="AD193" s="122">
        <f t="shared" si="88"/>
        <v>0</v>
      </c>
      <c r="AE193" s="122">
        <f t="shared" si="88"/>
        <v>0</v>
      </c>
      <c r="AF193" s="122">
        <f t="shared" si="88"/>
        <v>0</v>
      </c>
      <c r="AG193" s="122">
        <f t="shared" si="88"/>
        <v>0</v>
      </c>
    </row>
    <row r="194" spans="2:33" ht="14.25" outlineLevel="2">
      <c r="B194" s="275" t="s">
        <v>373</v>
      </c>
      <c r="C194" s="253">
        <f>+C13</f>
        <v>1452017</v>
      </c>
      <c r="D194" s="253">
        <f aca="true" t="shared" si="89" ref="D194:AG194">+D13</f>
        <v>668828</v>
      </c>
      <c r="E194" s="253">
        <f t="shared" si="89"/>
        <v>510000</v>
      </c>
      <c r="F194" s="253">
        <f t="shared" si="89"/>
        <v>1934394</v>
      </c>
      <c r="G194" s="253">
        <f t="shared" si="89"/>
        <v>510000</v>
      </c>
      <c r="H194" s="253">
        <f t="shared" si="89"/>
        <v>0</v>
      </c>
      <c r="I194" s="253">
        <f t="shared" si="89"/>
        <v>0</v>
      </c>
      <c r="J194" s="253">
        <f t="shared" si="89"/>
        <v>0</v>
      </c>
      <c r="K194" s="253">
        <f t="shared" si="89"/>
        <v>0</v>
      </c>
      <c r="L194" s="253">
        <f t="shared" si="89"/>
        <v>0</v>
      </c>
      <c r="M194" s="253">
        <f t="shared" si="89"/>
        <v>0</v>
      </c>
      <c r="N194" s="253">
        <f t="shared" si="89"/>
        <v>0</v>
      </c>
      <c r="O194" s="253">
        <f t="shared" si="89"/>
        <v>0</v>
      </c>
      <c r="P194" s="253">
        <f t="shared" si="89"/>
        <v>0</v>
      </c>
      <c r="Q194" s="253">
        <f t="shared" si="89"/>
        <v>0</v>
      </c>
      <c r="R194" s="253">
        <f t="shared" si="89"/>
        <v>0</v>
      </c>
      <c r="S194" s="253">
        <f t="shared" si="89"/>
        <v>0</v>
      </c>
      <c r="T194" s="253">
        <f t="shared" si="89"/>
        <v>0</v>
      </c>
      <c r="U194" s="253">
        <f t="shared" si="89"/>
        <v>0</v>
      </c>
      <c r="V194" s="253">
        <f t="shared" si="89"/>
        <v>0</v>
      </c>
      <c r="W194" s="253">
        <f t="shared" si="89"/>
        <v>0</v>
      </c>
      <c r="X194" s="253">
        <f t="shared" si="89"/>
        <v>0</v>
      </c>
      <c r="Y194" s="253">
        <f t="shared" si="89"/>
        <v>0</v>
      </c>
      <c r="Z194" s="253">
        <f t="shared" si="89"/>
        <v>0</v>
      </c>
      <c r="AA194" s="253">
        <f t="shared" si="89"/>
        <v>0</v>
      </c>
      <c r="AB194" s="253">
        <f t="shared" si="89"/>
        <v>0</v>
      </c>
      <c r="AC194" s="253">
        <f t="shared" si="89"/>
        <v>0</v>
      </c>
      <c r="AD194" s="253">
        <f t="shared" si="89"/>
        <v>0</v>
      </c>
      <c r="AE194" s="253">
        <f t="shared" si="89"/>
        <v>0</v>
      </c>
      <c r="AF194" s="253">
        <f t="shared" si="89"/>
        <v>0</v>
      </c>
      <c r="AG194" s="253">
        <f t="shared" si="89"/>
        <v>0</v>
      </c>
    </row>
    <row r="195" spans="2:33" ht="24" outlineLevel="2">
      <c r="B195" s="280" t="s">
        <v>371</v>
      </c>
      <c r="C195" s="121">
        <f>+C21+C26</f>
        <v>1622067</v>
      </c>
      <c r="D195" s="121">
        <f aca="true" t="shared" si="90" ref="D195:AG195">+D21+D26</f>
        <v>847828</v>
      </c>
      <c r="E195" s="121">
        <f t="shared" si="90"/>
        <v>490000</v>
      </c>
      <c r="F195" s="121">
        <f t="shared" si="90"/>
        <v>1934394</v>
      </c>
      <c r="G195" s="121">
        <f t="shared" si="90"/>
        <v>510000</v>
      </c>
      <c r="H195" s="121">
        <f t="shared" si="90"/>
        <v>0</v>
      </c>
      <c r="I195" s="121">
        <f t="shared" si="90"/>
        <v>0</v>
      </c>
      <c r="J195" s="121">
        <f t="shared" si="90"/>
        <v>0</v>
      </c>
      <c r="K195" s="121">
        <f t="shared" si="90"/>
        <v>0</v>
      </c>
      <c r="L195" s="121">
        <f t="shared" si="90"/>
        <v>0</v>
      </c>
      <c r="M195" s="121">
        <f t="shared" si="90"/>
        <v>0</v>
      </c>
      <c r="N195" s="121">
        <f t="shared" si="90"/>
        <v>0</v>
      </c>
      <c r="O195" s="121">
        <f t="shared" si="90"/>
        <v>0</v>
      </c>
      <c r="P195" s="121">
        <f t="shared" si="90"/>
        <v>0</v>
      </c>
      <c r="Q195" s="121">
        <f t="shared" si="90"/>
        <v>0</v>
      </c>
      <c r="R195" s="121">
        <f t="shared" si="90"/>
        <v>0</v>
      </c>
      <c r="S195" s="121">
        <f t="shared" si="90"/>
        <v>0</v>
      </c>
      <c r="T195" s="121">
        <f t="shared" si="90"/>
        <v>0</v>
      </c>
      <c r="U195" s="121">
        <f t="shared" si="90"/>
        <v>0</v>
      </c>
      <c r="V195" s="121">
        <f t="shared" si="90"/>
        <v>0</v>
      </c>
      <c r="W195" s="121">
        <f t="shared" si="90"/>
        <v>0</v>
      </c>
      <c r="X195" s="121">
        <f t="shared" si="90"/>
        <v>0</v>
      </c>
      <c r="Y195" s="121">
        <f t="shared" si="90"/>
        <v>0</v>
      </c>
      <c r="Z195" s="121">
        <f t="shared" si="90"/>
        <v>0</v>
      </c>
      <c r="AA195" s="121">
        <f t="shared" si="90"/>
        <v>0</v>
      </c>
      <c r="AB195" s="121">
        <f t="shared" si="90"/>
        <v>0</v>
      </c>
      <c r="AC195" s="121">
        <f t="shared" si="90"/>
        <v>0</v>
      </c>
      <c r="AD195" s="121">
        <f t="shared" si="90"/>
        <v>0</v>
      </c>
      <c r="AE195" s="121">
        <f t="shared" si="90"/>
        <v>0</v>
      </c>
      <c r="AF195" s="121">
        <f t="shared" si="90"/>
        <v>0</v>
      </c>
      <c r="AG195" s="121">
        <f t="shared" si="90"/>
        <v>0</v>
      </c>
    </row>
    <row r="196" spans="2:33" ht="24" outlineLevel="2">
      <c r="B196" s="276" t="s">
        <v>374</v>
      </c>
      <c r="C196" s="180">
        <f>+C21</f>
        <v>170050</v>
      </c>
      <c r="D196" s="180">
        <f aca="true" t="shared" si="91" ref="D196:AG196">+D21</f>
        <v>179000</v>
      </c>
      <c r="E196" s="180">
        <f t="shared" si="91"/>
        <v>0</v>
      </c>
      <c r="F196" s="180">
        <f t="shared" si="91"/>
        <v>0</v>
      </c>
      <c r="G196" s="180">
        <f t="shared" si="91"/>
        <v>0</v>
      </c>
      <c r="H196" s="180">
        <f t="shared" si="91"/>
        <v>0</v>
      </c>
      <c r="I196" s="180">
        <f t="shared" si="91"/>
        <v>0</v>
      </c>
      <c r="J196" s="180">
        <f t="shared" si="91"/>
        <v>0</v>
      </c>
      <c r="K196" s="180">
        <f t="shared" si="91"/>
        <v>0</v>
      </c>
      <c r="L196" s="180">
        <f t="shared" si="91"/>
        <v>0</v>
      </c>
      <c r="M196" s="180">
        <f t="shared" si="91"/>
        <v>0</v>
      </c>
      <c r="N196" s="180">
        <f t="shared" si="91"/>
        <v>0</v>
      </c>
      <c r="O196" s="180">
        <f t="shared" si="91"/>
        <v>0</v>
      </c>
      <c r="P196" s="180">
        <f t="shared" si="91"/>
        <v>0</v>
      </c>
      <c r="Q196" s="180">
        <f t="shared" si="91"/>
        <v>0</v>
      </c>
      <c r="R196" s="180">
        <f t="shared" si="91"/>
        <v>0</v>
      </c>
      <c r="S196" s="180">
        <f t="shared" si="91"/>
        <v>0</v>
      </c>
      <c r="T196" s="180">
        <f t="shared" si="91"/>
        <v>0</v>
      </c>
      <c r="U196" s="180">
        <f t="shared" si="91"/>
        <v>0</v>
      </c>
      <c r="V196" s="180">
        <f t="shared" si="91"/>
        <v>0</v>
      </c>
      <c r="W196" s="180">
        <f t="shared" si="91"/>
        <v>0</v>
      </c>
      <c r="X196" s="180">
        <f t="shared" si="91"/>
        <v>0</v>
      </c>
      <c r="Y196" s="180">
        <f t="shared" si="91"/>
        <v>0</v>
      </c>
      <c r="Z196" s="180">
        <f t="shared" si="91"/>
        <v>0</v>
      </c>
      <c r="AA196" s="180">
        <f t="shared" si="91"/>
        <v>0</v>
      </c>
      <c r="AB196" s="180">
        <f t="shared" si="91"/>
        <v>0</v>
      </c>
      <c r="AC196" s="180">
        <f t="shared" si="91"/>
        <v>0</v>
      </c>
      <c r="AD196" s="180">
        <f t="shared" si="91"/>
        <v>0</v>
      </c>
      <c r="AE196" s="180">
        <f t="shared" si="91"/>
        <v>0</v>
      </c>
      <c r="AF196" s="180">
        <f t="shared" si="91"/>
        <v>0</v>
      </c>
      <c r="AG196" s="180">
        <f t="shared" si="91"/>
        <v>0</v>
      </c>
    </row>
    <row r="197" spans="2:33" ht="14.25">
      <c r="B197" s="210"/>
      <c r="C197" s="211"/>
      <c r="D197" s="211"/>
      <c r="E197" s="211"/>
      <c r="F197" s="211"/>
      <c r="G197" s="211"/>
      <c r="H197" s="211"/>
      <c r="I197" s="211"/>
      <c r="J197" s="211"/>
      <c r="K197" s="211"/>
      <c r="L197" s="211"/>
      <c r="M197" s="211"/>
      <c r="N197" s="211"/>
      <c r="O197" s="211"/>
      <c r="P197" s="211"/>
      <c r="Q197" s="211"/>
      <c r="R197" s="211"/>
      <c r="S197" s="211"/>
      <c r="T197" s="211"/>
      <c r="U197" s="211"/>
      <c r="V197" s="211"/>
      <c r="W197" s="211"/>
      <c r="X197" s="211"/>
      <c r="Y197" s="211"/>
      <c r="Z197" s="211"/>
      <c r="AA197" s="211"/>
      <c r="AB197" s="211"/>
      <c r="AC197" s="211"/>
      <c r="AD197" s="211"/>
      <c r="AE197" s="211"/>
      <c r="AF197" s="211"/>
      <c r="AG197" s="211"/>
    </row>
    <row r="198" ht="14.25">
      <c r="B198" s="215" t="s">
        <v>223</v>
      </c>
    </row>
    <row r="199" spans="2:33" ht="14.25" outlineLevel="1">
      <c r="B199" s="45" t="s">
        <v>58</v>
      </c>
      <c r="C199" s="206" t="s">
        <v>174</v>
      </c>
      <c r="D199" s="199">
        <f aca="true" t="shared" si="92" ref="D199:AG199">+IF(C6&lt;&gt;0,D6/C6,0)</f>
        <v>0.9709659772961904</v>
      </c>
      <c r="E199" s="199">
        <f t="shared" si="92"/>
        <v>1.010561422870426</v>
      </c>
      <c r="F199" s="199">
        <f t="shared" si="92"/>
        <v>1.07863513967028</v>
      </c>
      <c r="G199" s="199">
        <f t="shared" si="92"/>
        <v>0.9709444210031309</v>
      </c>
      <c r="H199" s="199">
        <f t="shared" si="92"/>
        <v>1.0247421668825705</v>
      </c>
      <c r="I199" s="199">
        <f t="shared" si="92"/>
        <v>1.032951757829801</v>
      </c>
      <c r="J199" s="199">
        <f t="shared" si="92"/>
        <v>1.007053580026844</v>
      </c>
      <c r="K199" s="199">
        <f t="shared" si="92"/>
        <v>1.050458882075849</v>
      </c>
      <c r="L199" s="199">
        <f t="shared" si="92"/>
        <v>1.0299999873040395</v>
      </c>
      <c r="M199" s="199">
        <f t="shared" si="92"/>
        <v>0</v>
      </c>
      <c r="N199" s="199">
        <f t="shared" si="92"/>
        <v>0</v>
      </c>
      <c r="O199" s="199">
        <f t="shared" si="92"/>
        <v>0</v>
      </c>
      <c r="P199" s="199">
        <f t="shared" si="92"/>
        <v>0</v>
      </c>
      <c r="Q199" s="199">
        <f t="shared" si="92"/>
        <v>0</v>
      </c>
      <c r="R199" s="199">
        <f t="shared" si="92"/>
        <v>0</v>
      </c>
      <c r="S199" s="199">
        <f t="shared" si="92"/>
        <v>0</v>
      </c>
      <c r="T199" s="199">
        <f t="shared" si="92"/>
        <v>0</v>
      </c>
      <c r="U199" s="199">
        <f t="shared" si="92"/>
        <v>0</v>
      </c>
      <c r="V199" s="199">
        <f t="shared" si="92"/>
        <v>0</v>
      </c>
      <c r="W199" s="199">
        <f t="shared" si="92"/>
        <v>0</v>
      </c>
      <c r="X199" s="199">
        <f t="shared" si="92"/>
        <v>0</v>
      </c>
      <c r="Y199" s="199">
        <f t="shared" si="92"/>
        <v>0</v>
      </c>
      <c r="Z199" s="199">
        <f t="shared" si="92"/>
        <v>0</v>
      </c>
      <c r="AA199" s="199">
        <f t="shared" si="92"/>
        <v>0</v>
      </c>
      <c r="AB199" s="199">
        <f t="shared" si="92"/>
        <v>0</v>
      </c>
      <c r="AC199" s="199">
        <f t="shared" si="92"/>
        <v>0</v>
      </c>
      <c r="AD199" s="199">
        <f t="shared" si="92"/>
        <v>0</v>
      </c>
      <c r="AE199" s="199">
        <f t="shared" si="92"/>
        <v>0</v>
      </c>
      <c r="AF199" s="199">
        <f t="shared" si="92"/>
        <v>0</v>
      </c>
      <c r="AG199" s="199">
        <f t="shared" si="92"/>
        <v>0</v>
      </c>
    </row>
    <row r="200" spans="2:33" ht="14.25" outlineLevel="1">
      <c r="B200" s="48" t="s">
        <v>59</v>
      </c>
      <c r="C200" s="207" t="s">
        <v>174</v>
      </c>
      <c r="D200" s="200">
        <f aca="true" t="shared" si="93" ref="D200:AG200">+IF(C7&lt;&gt;0,D7/C7,0)</f>
        <v>1.0032531970095124</v>
      </c>
      <c r="E200" s="200">
        <f t="shared" si="93"/>
        <v>1.0159883030050345</v>
      </c>
      <c r="F200" s="200">
        <f t="shared" si="93"/>
        <v>1.0340629702400796</v>
      </c>
      <c r="G200" s="200">
        <f t="shared" si="93"/>
        <v>1.0135469905708445</v>
      </c>
      <c r="H200" s="200">
        <f t="shared" si="93"/>
        <v>1.0407979160584402</v>
      </c>
      <c r="I200" s="200">
        <f t="shared" si="93"/>
        <v>1.032951757829801</v>
      </c>
      <c r="J200" s="200">
        <f t="shared" si="93"/>
        <v>1.007053580026844</v>
      </c>
      <c r="K200" s="200">
        <f t="shared" si="93"/>
        <v>1.050458882075849</v>
      </c>
      <c r="L200" s="200">
        <f t="shared" si="93"/>
        <v>1.0299999873040395</v>
      </c>
      <c r="M200" s="200">
        <f t="shared" si="93"/>
        <v>0</v>
      </c>
      <c r="N200" s="200">
        <f t="shared" si="93"/>
        <v>0</v>
      </c>
      <c r="O200" s="200">
        <f t="shared" si="93"/>
        <v>0</v>
      </c>
      <c r="P200" s="200">
        <f t="shared" si="93"/>
        <v>0</v>
      </c>
      <c r="Q200" s="200">
        <f t="shared" si="93"/>
        <v>0</v>
      </c>
      <c r="R200" s="200">
        <f t="shared" si="93"/>
        <v>0</v>
      </c>
      <c r="S200" s="200">
        <f t="shared" si="93"/>
        <v>0</v>
      </c>
      <c r="T200" s="200">
        <f t="shared" si="93"/>
        <v>0</v>
      </c>
      <c r="U200" s="200">
        <f t="shared" si="93"/>
        <v>0</v>
      </c>
      <c r="V200" s="200">
        <f t="shared" si="93"/>
        <v>0</v>
      </c>
      <c r="W200" s="200">
        <f t="shared" si="93"/>
        <v>0</v>
      </c>
      <c r="X200" s="200">
        <f t="shared" si="93"/>
        <v>0</v>
      </c>
      <c r="Y200" s="200">
        <f t="shared" si="93"/>
        <v>0</v>
      </c>
      <c r="Z200" s="200">
        <f t="shared" si="93"/>
        <v>0</v>
      </c>
      <c r="AA200" s="200">
        <f t="shared" si="93"/>
        <v>0</v>
      </c>
      <c r="AB200" s="200">
        <f t="shared" si="93"/>
        <v>0</v>
      </c>
      <c r="AC200" s="200">
        <f t="shared" si="93"/>
        <v>0</v>
      </c>
      <c r="AD200" s="200">
        <f t="shared" si="93"/>
        <v>0</v>
      </c>
      <c r="AE200" s="200">
        <f t="shared" si="93"/>
        <v>0</v>
      </c>
      <c r="AF200" s="200">
        <f t="shared" si="93"/>
        <v>0</v>
      </c>
      <c r="AG200" s="200">
        <f t="shared" si="93"/>
        <v>0</v>
      </c>
    </row>
    <row r="201" spans="2:33" ht="14.25" outlineLevel="1">
      <c r="B201" s="203" t="s">
        <v>224</v>
      </c>
      <c r="C201" s="207" t="s">
        <v>174</v>
      </c>
      <c r="D201" s="200">
        <f aca="true" t="shared" si="94" ref="D201:AG201">+IF((C9)&lt;&gt;0,(D9)/(C9),0)</f>
        <v>1.0526315789473684</v>
      </c>
      <c r="E201" s="200">
        <f t="shared" si="94"/>
        <v>0</v>
      </c>
      <c r="F201" s="200">
        <f t="shared" si="94"/>
        <v>0</v>
      </c>
      <c r="G201" s="200">
        <f t="shared" si="94"/>
        <v>0</v>
      </c>
      <c r="H201" s="200">
        <f t="shared" si="94"/>
        <v>0</v>
      </c>
      <c r="I201" s="200">
        <f t="shared" si="94"/>
        <v>0</v>
      </c>
      <c r="J201" s="200">
        <f t="shared" si="94"/>
        <v>0</v>
      </c>
      <c r="K201" s="200">
        <f t="shared" si="94"/>
        <v>0</v>
      </c>
      <c r="L201" s="200">
        <f t="shared" si="94"/>
        <v>0</v>
      </c>
      <c r="M201" s="200">
        <f t="shared" si="94"/>
        <v>0</v>
      </c>
      <c r="N201" s="200">
        <f t="shared" si="94"/>
        <v>0</v>
      </c>
      <c r="O201" s="200">
        <f t="shared" si="94"/>
        <v>0</v>
      </c>
      <c r="P201" s="200">
        <f t="shared" si="94"/>
        <v>0</v>
      </c>
      <c r="Q201" s="200">
        <f t="shared" si="94"/>
        <v>0</v>
      </c>
      <c r="R201" s="200">
        <f t="shared" si="94"/>
        <v>0</v>
      </c>
      <c r="S201" s="200">
        <f t="shared" si="94"/>
        <v>0</v>
      </c>
      <c r="T201" s="200">
        <f t="shared" si="94"/>
        <v>0</v>
      </c>
      <c r="U201" s="200">
        <f t="shared" si="94"/>
        <v>0</v>
      </c>
      <c r="V201" s="200">
        <f t="shared" si="94"/>
        <v>0</v>
      </c>
      <c r="W201" s="200">
        <f t="shared" si="94"/>
        <v>0</v>
      </c>
      <c r="X201" s="200">
        <f t="shared" si="94"/>
        <v>0</v>
      </c>
      <c r="Y201" s="200">
        <f t="shared" si="94"/>
        <v>0</v>
      </c>
      <c r="Z201" s="200">
        <f t="shared" si="94"/>
        <v>0</v>
      </c>
      <c r="AA201" s="200">
        <f t="shared" si="94"/>
        <v>0</v>
      </c>
      <c r="AB201" s="200">
        <f t="shared" si="94"/>
        <v>0</v>
      </c>
      <c r="AC201" s="200">
        <f t="shared" si="94"/>
        <v>0</v>
      </c>
      <c r="AD201" s="200">
        <f t="shared" si="94"/>
        <v>0</v>
      </c>
      <c r="AE201" s="200">
        <f t="shared" si="94"/>
        <v>0</v>
      </c>
      <c r="AF201" s="200">
        <f t="shared" si="94"/>
        <v>0</v>
      </c>
      <c r="AG201" s="200">
        <f t="shared" si="94"/>
        <v>0</v>
      </c>
    </row>
    <row r="202" spans="2:33" ht="14.25" outlineLevel="1">
      <c r="B202" s="48" t="s">
        <v>84</v>
      </c>
      <c r="C202" s="207" t="s">
        <v>174</v>
      </c>
      <c r="D202" s="200">
        <f aca="true" t="shared" si="95" ref="D202:AG202">+IF(C10&lt;&gt;0,D10/C10,0)</f>
        <v>0.39296199744185867</v>
      </c>
      <c r="E202" s="200">
        <f t="shared" si="95"/>
        <v>0.7625278845981328</v>
      </c>
      <c r="F202" s="200">
        <f t="shared" si="95"/>
        <v>3.792929411764706</v>
      </c>
      <c r="G202" s="200">
        <f t="shared" si="95"/>
        <v>0.2636484604480783</v>
      </c>
      <c r="H202" s="200">
        <f t="shared" si="95"/>
        <v>0</v>
      </c>
      <c r="I202" s="200">
        <f t="shared" si="95"/>
        <v>0</v>
      </c>
      <c r="J202" s="200">
        <f t="shared" si="95"/>
        <v>0</v>
      </c>
      <c r="K202" s="200">
        <f t="shared" si="95"/>
        <v>0</v>
      </c>
      <c r="L202" s="200">
        <f t="shared" si="95"/>
        <v>0</v>
      </c>
      <c r="M202" s="200">
        <f t="shared" si="95"/>
        <v>0</v>
      </c>
      <c r="N202" s="200">
        <f t="shared" si="95"/>
        <v>0</v>
      </c>
      <c r="O202" s="200">
        <f t="shared" si="95"/>
        <v>0</v>
      </c>
      <c r="P202" s="200">
        <f t="shared" si="95"/>
        <v>0</v>
      </c>
      <c r="Q202" s="200">
        <f t="shared" si="95"/>
        <v>0</v>
      </c>
      <c r="R202" s="200">
        <f t="shared" si="95"/>
        <v>0</v>
      </c>
      <c r="S202" s="200">
        <f t="shared" si="95"/>
        <v>0</v>
      </c>
      <c r="T202" s="200">
        <f t="shared" si="95"/>
        <v>0</v>
      </c>
      <c r="U202" s="200">
        <f t="shared" si="95"/>
        <v>0</v>
      </c>
      <c r="V202" s="200">
        <f t="shared" si="95"/>
        <v>0</v>
      </c>
      <c r="W202" s="200">
        <f t="shared" si="95"/>
        <v>0</v>
      </c>
      <c r="X202" s="200">
        <f t="shared" si="95"/>
        <v>0</v>
      </c>
      <c r="Y202" s="200">
        <f t="shared" si="95"/>
        <v>0</v>
      </c>
      <c r="Z202" s="200">
        <f t="shared" si="95"/>
        <v>0</v>
      </c>
      <c r="AA202" s="200">
        <f t="shared" si="95"/>
        <v>0</v>
      </c>
      <c r="AB202" s="200">
        <f t="shared" si="95"/>
        <v>0</v>
      </c>
      <c r="AC202" s="200">
        <f t="shared" si="95"/>
        <v>0</v>
      </c>
      <c r="AD202" s="200">
        <f t="shared" si="95"/>
        <v>0</v>
      </c>
      <c r="AE202" s="200">
        <f t="shared" si="95"/>
        <v>0</v>
      </c>
      <c r="AF202" s="200">
        <f t="shared" si="95"/>
        <v>0</v>
      </c>
      <c r="AG202" s="200">
        <f t="shared" si="95"/>
        <v>0</v>
      </c>
    </row>
    <row r="203" spans="2:33" ht="14.25" outlineLevel="1">
      <c r="B203" s="51" t="s">
        <v>85</v>
      </c>
      <c r="C203" s="207" t="s">
        <v>174</v>
      </c>
      <c r="D203" s="200">
        <f aca="true" t="shared" si="96" ref="D203:AG203">+IF(C11&lt;&gt;0,D11/C11,0)</f>
        <v>0</v>
      </c>
      <c r="E203" s="200">
        <f t="shared" si="96"/>
        <v>0</v>
      </c>
      <c r="F203" s="200">
        <f t="shared" si="96"/>
        <v>0</v>
      </c>
      <c r="G203" s="200">
        <f t="shared" si="96"/>
        <v>0</v>
      </c>
      <c r="H203" s="200">
        <f t="shared" si="96"/>
        <v>0</v>
      </c>
      <c r="I203" s="200">
        <f t="shared" si="96"/>
        <v>0</v>
      </c>
      <c r="J203" s="200">
        <f t="shared" si="96"/>
        <v>0</v>
      </c>
      <c r="K203" s="200">
        <f t="shared" si="96"/>
        <v>0</v>
      </c>
      <c r="L203" s="200">
        <f t="shared" si="96"/>
        <v>0</v>
      </c>
      <c r="M203" s="200">
        <f t="shared" si="96"/>
        <v>0</v>
      </c>
      <c r="N203" s="200">
        <f t="shared" si="96"/>
        <v>0</v>
      </c>
      <c r="O203" s="200">
        <f t="shared" si="96"/>
        <v>0</v>
      </c>
      <c r="P203" s="200">
        <f t="shared" si="96"/>
        <v>0</v>
      </c>
      <c r="Q203" s="200">
        <f t="shared" si="96"/>
        <v>0</v>
      </c>
      <c r="R203" s="200">
        <f t="shared" si="96"/>
        <v>0</v>
      </c>
      <c r="S203" s="200">
        <f t="shared" si="96"/>
        <v>0</v>
      </c>
      <c r="T203" s="200">
        <f t="shared" si="96"/>
        <v>0</v>
      </c>
      <c r="U203" s="200">
        <f t="shared" si="96"/>
        <v>0</v>
      </c>
      <c r="V203" s="200">
        <f t="shared" si="96"/>
        <v>0</v>
      </c>
      <c r="W203" s="200">
        <f t="shared" si="96"/>
        <v>0</v>
      </c>
      <c r="X203" s="200">
        <f t="shared" si="96"/>
        <v>0</v>
      </c>
      <c r="Y203" s="200">
        <f t="shared" si="96"/>
        <v>0</v>
      </c>
      <c r="Z203" s="200">
        <f t="shared" si="96"/>
        <v>0</v>
      </c>
      <c r="AA203" s="200">
        <f t="shared" si="96"/>
        <v>0</v>
      </c>
      <c r="AB203" s="200">
        <f t="shared" si="96"/>
        <v>0</v>
      </c>
      <c r="AC203" s="200">
        <f t="shared" si="96"/>
        <v>0</v>
      </c>
      <c r="AD203" s="200">
        <f t="shared" si="96"/>
        <v>0</v>
      </c>
      <c r="AE203" s="200">
        <f t="shared" si="96"/>
        <v>0</v>
      </c>
      <c r="AF203" s="200">
        <f t="shared" si="96"/>
        <v>0</v>
      </c>
      <c r="AG203" s="200">
        <f t="shared" si="96"/>
        <v>0</v>
      </c>
    </row>
    <row r="204" spans="2:33" ht="14.25" outlineLevel="1">
      <c r="B204" s="202" t="s">
        <v>225</v>
      </c>
      <c r="C204" s="208" t="s">
        <v>174</v>
      </c>
      <c r="D204" s="201">
        <f aca="true" t="shared" si="97" ref="D204:AG204">+IF((C13)&lt;&gt;0,(D13)/(C13),0)</f>
        <v>0.46061995141930157</v>
      </c>
      <c r="E204" s="201">
        <f t="shared" si="97"/>
        <v>0.7625278845981328</v>
      </c>
      <c r="F204" s="201">
        <f t="shared" si="97"/>
        <v>3.792929411764706</v>
      </c>
      <c r="G204" s="201">
        <f t="shared" si="97"/>
        <v>0.2636484604480783</v>
      </c>
      <c r="H204" s="201">
        <f t="shared" si="97"/>
        <v>0</v>
      </c>
      <c r="I204" s="201">
        <f t="shared" si="97"/>
        <v>0</v>
      </c>
      <c r="J204" s="201">
        <f t="shared" si="97"/>
        <v>0</v>
      </c>
      <c r="K204" s="201">
        <f t="shared" si="97"/>
        <v>0</v>
      </c>
      <c r="L204" s="201">
        <f t="shared" si="97"/>
        <v>0</v>
      </c>
      <c r="M204" s="201">
        <f t="shared" si="97"/>
        <v>0</v>
      </c>
      <c r="N204" s="201">
        <f t="shared" si="97"/>
        <v>0</v>
      </c>
      <c r="O204" s="201">
        <f t="shared" si="97"/>
        <v>0</v>
      </c>
      <c r="P204" s="201">
        <f t="shared" si="97"/>
        <v>0</v>
      </c>
      <c r="Q204" s="201">
        <f t="shared" si="97"/>
        <v>0</v>
      </c>
      <c r="R204" s="201">
        <f t="shared" si="97"/>
        <v>0</v>
      </c>
      <c r="S204" s="201">
        <f t="shared" si="97"/>
        <v>0</v>
      </c>
      <c r="T204" s="201">
        <f t="shared" si="97"/>
        <v>0</v>
      </c>
      <c r="U204" s="201">
        <f t="shared" si="97"/>
        <v>0</v>
      </c>
      <c r="V204" s="201">
        <f t="shared" si="97"/>
        <v>0</v>
      </c>
      <c r="W204" s="201">
        <f t="shared" si="97"/>
        <v>0</v>
      </c>
      <c r="X204" s="201">
        <f t="shared" si="97"/>
        <v>0</v>
      </c>
      <c r="Y204" s="201">
        <f t="shared" si="97"/>
        <v>0</v>
      </c>
      <c r="Z204" s="201">
        <f t="shared" si="97"/>
        <v>0</v>
      </c>
      <c r="AA204" s="201">
        <f t="shared" si="97"/>
        <v>0</v>
      </c>
      <c r="AB204" s="201">
        <f t="shared" si="97"/>
        <v>0</v>
      </c>
      <c r="AC204" s="201">
        <f t="shared" si="97"/>
        <v>0</v>
      </c>
      <c r="AD204" s="201">
        <f t="shared" si="97"/>
        <v>0</v>
      </c>
      <c r="AE204" s="201">
        <f t="shared" si="97"/>
        <v>0</v>
      </c>
      <c r="AF204" s="201">
        <f t="shared" si="97"/>
        <v>0</v>
      </c>
      <c r="AG204" s="201">
        <f t="shared" si="97"/>
        <v>0</v>
      </c>
    </row>
    <row r="205" spans="2:33" ht="14.25" outlineLevel="1">
      <c r="B205" s="45" t="s">
        <v>45</v>
      </c>
      <c r="C205" s="206" t="s">
        <v>174</v>
      </c>
      <c r="D205" s="199">
        <f aca="true" t="shared" si="98" ref="D205:AG205">+IF(C14&lt;&gt;0,D14/C14,0)</f>
        <v>0.9785011357818147</v>
      </c>
      <c r="E205" s="199">
        <f t="shared" si="98"/>
        <v>1.0095024300663937</v>
      </c>
      <c r="F205" s="199">
        <f t="shared" si="98"/>
        <v>1.0788055388867535</v>
      </c>
      <c r="G205" s="199">
        <f t="shared" si="98"/>
        <v>0.9332059534547843</v>
      </c>
      <c r="H205" s="199">
        <f t="shared" si="98"/>
        <v>1.0179167787431078</v>
      </c>
      <c r="I205" s="199">
        <f t="shared" si="98"/>
        <v>1.019304143547231</v>
      </c>
      <c r="J205" s="199">
        <f t="shared" si="98"/>
        <v>1.0675024128449078</v>
      </c>
      <c r="K205" s="199">
        <f t="shared" si="98"/>
        <v>0.9917005664163228</v>
      </c>
      <c r="L205" s="199">
        <f t="shared" si="98"/>
        <v>1.057571932698137</v>
      </c>
      <c r="M205" s="199">
        <f t="shared" si="98"/>
        <v>0</v>
      </c>
      <c r="N205" s="199">
        <f t="shared" si="98"/>
        <v>0</v>
      </c>
      <c r="O205" s="199">
        <f t="shared" si="98"/>
        <v>0</v>
      </c>
      <c r="P205" s="199">
        <f t="shared" si="98"/>
        <v>0</v>
      </c>
      <c r="Q205" s="199">
        <f t="shared" si="98"/>
        <v>0</v>
      </c>
      <c r="R205" s="199">
        <f t="shared" si="98"/>
        <v>0</v>
      </c>
      <c r="S205" s="199">
        <f t="shared" si="98"/>
        <v>0</v>
      </c>
      <c r="T205" s="199">
        <f t="shared" si="98"/>
        <v>0</v>
      </c>
      <c r="U205" s="199">
        <f t="shared" si="98"/>
        <v>0</v>
      </c>
      <c r="V205" s="199">
        <f t="shared" si="98"/>
        <v>0</v>
      </c>
      <c r="W205" s="199">
        <f t="shared" si="98"/>
        <v>0</v>
      </c>
      <c r="X205" s="199">
        <f t="shared" si="98"/>
        <v>0</v>
      </c>
      <c r="Y205" s="199">
        <f t="shared" si="98"/>
        <v>0</v>
      </c>
      <c r="Z205" s="199">
        <f t="shared" si="98"/>
        <v>0</v>
      </c>
      <c r="AA205" s="199">
        <f t="shared" si="98"/>
        <v>0</v>
      </c>
      <c r="AB205" s="199">
        <f t="shared" si="98"/>
        <v>0</v>
      </c>
      <c r="AC205" s="199">
        <f t="shared" si="98"/>
        <v>0</v>
      </c>
      <c r="AD205" s="199">
        <f t="shared" si="98"/>
        <v>0</v>
      </c>
      <c r="AE205" s="199">
        <f t="shared" si="98"/>
        <v>0</v>
      </c>
      <c r="AF205" s="199">
        <f t="shared" si="98"/>
        <v>0</v>
      </c>
      <c r="AG205" s="199">
        <f t="shared" si="98"/>
        <v>0</v>
      </c>
    </row>
    <row r="206" spans="2:33" ht="14.25" outlineLevel="1">
      <c r="B206" s="48" t="s">
        <v>60</v>
      </c>
      <c r="C206" s="207" t="s">
        <v>174</v>
      </c>
      <c r="D206" s="200">
        <f aca="true" t="shared" si="99" ref="D206:AG206">+IF(C15&lt;&gt;0,D15/C15,0)</f>
        <v>1.0267865278919714</v>
      </c>
      <c r="E206" s="200">
        <f t="shared" si="99"/>
        <v>1.0500609057579275</v>
      </c>
      <c r="F206" s="200">
        <f t="shared" si="99"/>
        <v>1.0162672499608072</v>
      </c>
      <c r="G206" s="200">
        <f t="shared" si="99"/>
        <v>1.029073031004383</v>
      </c>
      <c r="H206" s="200">
        <f t="shared" si="99"/>
        <v>1.028172930590915</v>
      </c>
      <c r="I206" s="200">
        <f t="shared" si="99"/>
        <v>1.0153913232337703</v>
      </c>
      <c r="J206" s="200">
        <f t="shared" si="99"/>
        <v>1.0450774046582312</v>
      </c>
      <c r="K206" s="200">
        <f t="shared" si="99"/>
        <v>1.0128414334363938</v>
      </c>
      <c r="L206" s="200">
        <f t="shared" si="99"/>
        <v>1.022999986709103</v>
      </c>
      <c r="M206" s="200">
        <f t="shared" si="99"/>
        <v>0</v>
      </c>
      <c r="N206" s="200">
        <f t="shared" si="99"/>
        <v>0</v>
      </c>
      <c r="O206" s="200">
        <f t="shared" si="99"/>
        <v>0</v>
      </c>
      <c r="P206" s="200">
        <f t="shared" si="99"/>
        <v>0</v>
      </c>
      <c r="Q206" s="200">
        <f t="shared" si="99"/>
        <v>0</v>
      </c>
      <c r="R206" s="200">
        <f t="shared" si="99"/>
        <v>0</v>
      </c>
      <c r="S206" s="200">
        <f t="shared" si="99"/>
        <v>0</v>
      </c>
      <c r="T206" s="200">
        <f t="shared" si="99"/>
        <v>0</v>
      </c>
      <c r="U206" s="200">
        <f t="shared" si="99"/>
        <v>0</v>
      </c>
      <c r="V206" s="200">
        <f t="shared" si="99"/>
        <v>0</v>
      </c>
      <c r="W206" s="200">
        <f t="shared" si="99"/>
        <v>0</v>
      </c>
      <c r="X206" s="200">
        <f t="shared" si="99"/>
        <v>0</v>
      </c>
      <c r="Y206" s="200">
        <f t="shared" si="99"/>
        <v>0</v>
      </c>
      <c r="Z206" s="200">
        <f t="shared" si="99"/>
        <v>0</v>
      </c>
      <c r="AA206" s="200">
        <f t="shared" si="99"/>
        <v>0</v>
      </c>
      <c r="AB206" s="200">
        <f t="shared" si="99"/>
        <v>0</v>
      </c>
      <c r="AC206" s="200">
        <f t="shared" si="99"/>
        <v>0</v>
      </c>
      <c r="AD206" s="200">
        <f t="shared" si="99"/>
        <v>0</v>
      </c>
      <c r="AE206" s="200">
        <f t="shared" si="99"/>
        <v>0</v>
      </c>
      <c r="AF206" s="200">
        <f t="shared" si="99"/>
        <v>0</v>
      </c>
      <c r="AG206" s="200">
        <f t="shared" si="99"/>
        <v>0</v>
      </c>
    </row>
    <row r="207" spans="2:33" ht="14.25" outlineLevel="1">
      <c r="B207" s="50" t="s">
        <v>88</v>
      </c>
      <c r="C207" s="207" t="s">
        <v>174</v>
      </c>
      <c r="D207" s="200">
        <f aca="true" t="shared" si="100" ref="D207:AG207">+IF(C16&lt;&gt;0,D16/C16,0)</f>
        <v>1.032112948345836</v>
      </c>
      <c r="E207" s="200">
        <f t="shared" si="100"/>
        <v>1.0537787568897663</v>
      </c>
      <c r="F207" s="200">
        <f t="shared" si="100"/>
        <v>1.0179792201069007</v>
      </c>
      <c r="G207" s="200">
        <f t="shared" si="100"/>
        <v>1.0347450719696374</v>
      </c>
      <c r="H207" s="200">
        <f t="shared" si="100"/>
        <v>1.0318329666929313</v>
      </c>
      <c r="I207" s="200">
        <f t="shared" si="100"/>
        <v>1.0197129338554909</v>
      </c>
      <c r="J207" s="200">
        <f t="shared" si="100"/>
        <v>1.042196337181492</v>
      </c>
      <c r="K207" s="200">
        <f t="shared" si="100"/>
        <v>1.015550806885674</v>
      </c>
      <c r="L207" s="200">
        <f t="shared" si="100"/>
        <v>1.023388596970778</v>
      </c>
      <c r="M207" s="200">
        <f t="shared" si="100"/>
        <v>0</v>
      </c>
      <c r="N207" s="200">
        <f t="shared" si="100"/>
        <v>0</v>
      </c>
      <c r="O207" s="200">
        <f t="shared" si="100"/>
        <v>0</v>
      </c>
      <c r="P207" s="200">
        <f t="shared" si="100"/>
        <v>0</v>
      </c>
      <c r="Q207" s="200">
        <f t="shared" si="100"/>
        <v>0</v>
      </c>
      <c r="R207" s="200">
        <f t="shared" si="100"/>
        <v>0</v>
      </c>
      <c r="S207" s="200">
        <f t="shared" si="100"/>
        <v>0</v>
      </c>
      <c r="T207" s="200">
        <f t="shared" si="100"/>
        <v>0</v>
      </c>
      <c r="U207" s="200">
        <f t="shared" si="100"/>
        <v>0</v>
      </c>
      <c r="V207" s="200">
        <f t="shared" si="100"/>
        <v>0</v>
      </c>
      <c r="W207" s="200">
        <f t="shared" si="100"/>
        <v>0</v>
      </c>
      <c r="X207" s="200">
        <f t="shared" si="100"/>
        <v>0</v>
      </c>
      <c r="Y207" s="200">
        <f t="shared" si="100"/>
        <v>0</v>
      </c>
      <c r="Z207" s="200">
        <f t="shared" si="100"/>
        <v>0</v>
      </c>
      <c r="AA207" s="200">
        <f t="shared" si="100"/>
        <v>0</v>
      </c>
      <c r="AB207" s="200">
        <f t="shared" si="100"/>
        <v>0</v>
      </c>
      <c r="AC207" s="200">
        <f t="shared" si="100"/>
        <v>0</v>
      </c>
      <c r="AD207" s="200">
        <f t="shared" si="100"/>
        <v>0</v>
      </c>
      <c r="AE207" s="200">
        <f t="shared" si="100"/>
        <v>0</v>
      </c>
      <c r="AF207" s="200">
        <f t="shared" si="100"/>
        <v>0</v>
      </c>
      <c r="AG207" s="200">
        <f t="shared" si="100"/>
        <v>0</v>
      </c>
    </row>
    <row r="208" spans="2:33" ht="24" outlineLevel="1">
      <c r="B208" s="54" t="s">
        <v>134</v>
      </c>
      <c r="C208" s="207" t="s">
        <v>174</v>
      </c>
      <c r="D208" s="200">
        <f aca="true" t="shared" si="101" ref="D208:AG208">+IF(C20&lt;&gt;0,D20/C20,0)</f>
        <v>1.0526315789473684</v>
      </c>
      <c r="E208" s="200">
        <f t="shared" si="101"/>
        <v>0</v>
      </c>
      <c r="F208" s="200">
        <f t="shared" si="101"/>
        <v>0</v>
      </c>
      <c r="G208" s="200">
        <f t="shared" si="101"/>
        <v>0</v>
      </c>
      <c r="H208" s="200">
        <f t="shared" si="101"/>
        <v>0</v>
      </c>
      <c r="I208" s="200">
        <f t="shared" si="101"/>
        <v>0</v>
      </c>
      <c r="J208" s="200">
        <f t="shared" si="101"/>
        <v>0</v>
      </c>
      <c r="K208" s="200">
        <f t="shared" si="101"/>
        <v>0</v>
      </c>
      <c r="L208" s="200">
        <f t="shared" si="101"/>
        <v>0</v>
      </c>
      <c r="M208" s="200">
        <f t="shared" si="101"/>
        <v>0</v>
      </c>
      <c r="N208" s="200">
        <f t="shared" si="101"/>
        <v>0</v>
      </c>
      <c r="O208" s="200">
        <f t="shared" si="101"/>
        <v>0</v>
      </c>
      <c r="P208" s="200">
        <f t="shared" si="101"/>
        <v>0</v>
      </c>
      <c r="Q208" s="200">
        <f t="shared" si="101"/>
        <v>0</v>
      </c>
      <c r="R208" s="200">
        <f t="shared" si="101"/>
        <v>0</v>
      </c>
      <c r="S208" s="200">
        <f t="shared" si="101"/>
        <v>0</v>
      </c>
      <c r="T208" s="200">
        <f t="shared" si="101"/>
        <v>0</v>
      </c>
      <c r="U208" s="200">
        <f t="shared" si="101"/>
        <v>0</v>
      </c>
      <c r="V208" s="200">
        <f t="shared" si="101"/>
        <v>0</v>
      </c>
      <c r="W208" s="200">
        <f t="shared" si="101"/>
        <v>0</v>
      </c>
      <c r="X208" s="200">
        <f t="shared" si="101"/>
        <v>0</v>
      </c>
      <c r="Y208" s="200">
        <f t="shared" si="101"/>
        <v>0</v>
      </c>
      <c r="Z208" s="200">
        <f t="shared" si="101"/>
        <v>0</v>
      </c>
      <c r="AA208" s="200">
        <f t="shared" si="101"/>
        <v>0</v>
      </c>
      <c r="AB208" s="200">
        <f t="shared" si="101"/>
        <v>0</v>
      </c>
      <c r="AC208" s="200">
        <f t="shared" si="101"/>
        <v>0</v>
      </c>
      <c r="AD208" s="200">
        <f t="shared" si="101"/>
        <v>0</v>
      </c>
      <c r="AE208" s="200">
        <f t="shared" si="101"/>
        <v>0</v>
      </c>
      <c r="AF208" s="200">
        <f t="shared" si="101"/>
        <v>0</v>
      </c>
      <c r="AG208" s="200">
        <f t="shared" si="101"/>
        <v>0</v>
      </c>
    </row>
    <row r="209" spans="2:33" ht="14.25" outlineLevel="1">
      <c r="B209" s="54" t="s">
        <v>136</v>
      </c>
      <c r="C209" s="207" t="s">
        <v>174</v>
      </c>
      <c r="D209" s="200">
        <f aca="true" t="shared" si="102" ref="D209:AG209">+IF(C17&lt;&gt;0,D17/C17,0)</f>
        <v>0</v>
      </c>
      <c r="E209" s="200">
        <f t="shared" si="102"/>
        <v>0</v>
      </c>
      <c r="F209" s="200">
        <f t="shared" si="102"/>
        <v>0</v>
      </c>
      <c r="G209" s="200">
        <f t="shared" si="102"/>
        <v>0</v>
      </c>
      <c r="H209" s="200">
        <f t="shared" si="102"/>
        <v>0</v>
      </c>
      <c r="I209" s="200">
        <f t="shared" si="102"/>
        <v>0</v>
      </c>
      <c r="J209" s="200">
        <f t="shared" si="102"/>
        <v>0</v>
      </c>
      <c r="K209" s="200">
        <f t="shared" si="102"/>
        <v>0</v>
      </c>
      <c r="L209" s="200">
        <f t="shared" si="102"/>
        <v>0</v>
      </c>
      <c r="M209" s="200">
        <f t="shared" si="102"/>
        <v>0</v>
      </c>
      <c r="N209" s="200">
        <f t="shared" si="102"/>
        <v>0</v>
      </c>
      <c r="O209" s="200">
        <f t="shared" si="102"/>
        <v>0</v>
      </c>
      <c r="P209" s="200">
        <f t="shared" si="102"/>
        <v>0</v>
      </c>
      <c r="Q209" s="200">
        <f t="shared" si="102"/>
        <v>0</v>
      </c>
      <c r="R209" s="200">
        <f t="shared" si="102"/>
        <v>0</v>
      </c>
      <c r="S209" s="200">
        <f t="shared" si="102"/>
        <v>0</v>
      </c>
      <c r="T209" s="200">
        <f t="shared" si="102"/>
        <v>0</v>
      </c>
      <c r="U209" s="200">
        <f t="shared" si="102"/>
        <v>0</v>
      </c>
      <c r="V209" s="200">
        <f t="shared" si="102"/>
        <v>0</v>
      </c>
      <c r="W209" s="200">
        <f t="shared" si="102"/>
        <v>0</v>
      </c>
      <c r="X209" s="200">
        <f t="shared" si="102"/>
        <v>0</v>
      </c>
      <c r="Y209" s="200">
        <f t="shared" si="102"/>
        <v>0</v>
      </c>
      <c r="Z209" s="200">
        <f t="shared" si="102"/>
        <v>0</v>
      </c>
      <c r="AA209" s="200">
        <f t="shared" si="102"/>
        <v>0</v>
      </c>
      <c r="AB209" s="200">
        <f t="shared" si="102"/>
        <v>0</v>
      </c>
      <c r="AC209" s="200">
        <f t="shared" si="102"/>
        <v>0</v>
      </c>
      <c r="AD209" s="200">
        <f t="shared" si="102"/>
        <v>0</v>
      </c>
      <c r="AE209" s="200">
        <f t="shared" si="102"/>
        <v>0</v>
      </c>
      <c r="AF209" s="200">
        <f t="shared" si="102"/>
        <v>0</v>
      </c>
      <c r="AG209" s="200">
        <f t="shared" si="102"/>
        <v>0</v>
      </c>
    </row>
    <row r="210" spans="2:33" ht="24" outlineLevel="1">
      <c r="B210" s="55" t="s">
        <v>137</v>
      </c>
      <c r="C210" s="207" t="s">
        <v>174</v>
      </c>
      <c r="D210" s="200">
        <f aca="true" t="shared" si="103" ref="D210:AG210">+IF(C18&lt;&gt;0,D18/C18,0)</f>
        <v>0</v>
      </c>
      <c r="E210" s="200">
        <f t="shared" si="103"/>
        <v>0</v>
      </c>
      <c r="F210" s="200">
        <f t="shared" si="103"/>
        <v>0</v>
      </c>
      <c r="G210" s="200">
        <f t="shared" si="103"/>
        <v>0</v>
      </c>
      <c r="H210" s="200">
        <f t="shared" si="103"/>
        <v>0</v>
      </c>
      <c r="I210" s="200">
        <f t="shared" si="103"/>
        <v>0</v>
      </c>
      <c r="J210" s="200">
        <f t="shared" si="103"/>
        <v>0</v>
      </c>
      <c r="K210" s="200">
        <f t="shared" si="103"/>
        <v>0</v>
      </c>
      <c r="L210" s="200">
        <f t="shared" si="103"/>
        <v>0</v>
      </c>
      <c r="M210" s="200">
        <f t="shared" si="103"/>
        <v>0</v>
      </c>
      <c r="N210" s="200">
        <f t="shared" si="103"/>
        <v>0</v>
      </c>
      <c r="O210" s="200">
        <f t="shared" si="103"/>
        <v>0</v>
      </c>
      <c r="P210" s="200">
        <f t="shared" si="103"/>
        <v>0</v>
      </c>
      <c r="Q210" s="200">
        <f t="shared" si="103"/>
        <v>0</v>
      </c>
      <c r="R210" s="200">
        <f t="shared" si="103"/>
        <v>0</v>
      </c>
      <c r="S210" s="200">
        <f t="shared" si="103"/>
        <v>0</v>
      </c>
      <c r="T210" s="200">
        <f t="shared" si="103"/>
        <v>0</v>
      </c>
      <c r="U210" s="200">
        <f t="shared" si="103"/>
        <v>0</v>
      </c>
      <c r="V210" s="200">
        <f t="shared" si="103"/>
        <v>0</v>
      </c>
      <c r="W210" s="200">
        <f t="shared" si="103"/>
        <v>0</v>
      </c>
      <c r="X210" s="200">
        <f t="shared" si="103"/>
        <v>0</v>
      </c>
      <c r="Y210" s="200">
        <f t="shared" si="103"/>
        <v>0</v>
      </c>
      <c r="Z210" s="200">
        <f t="shared" si="103"/>
        <v>0</v>
      </c>
      <c r="AA210" s="200">
        <f t="shared" si="103"/>
        <v>0</v>
      </c>
      <c r="AB210" s="200">
        <f t="shared" si="103"/>
        <v>0</v>
      </c>
      <c r="AC210" s="200">
        <f t="shared" si="103"/>
        <v>0</v>
      </c>
      <c r="AD210" s="200">
        <f t="shared" si="103"/>
        <v>0</v>
      </c>
      <c r="AE210" s="200">
        <f t="shared" si="103"/>
        <v>0</v>
      </c>
      <c r="AF210" s="200">
        <f t="shared" si="103"/>
        <v>0</v>
      </c>
      <c r="AG210" s="200">
        <f t="shared" si="103"/>
        <v>0</v>
      </c>
    </row>
    <row r="211" spans="2:33" ht="14.25" outlineLevel="1">
      <c r="B211" s="54" t="s">
        <v>12</v>
      </c>
      <c r="C211" s="207" t="s">
        <v>174</v>
      </c>
      <c r="D211" s="200">
        <f aca="true" t="shared" si="104" ref="D211:AG211">+IF(C22&lt;&gt;0,D22/C22,0)</f>
        <v>0.8356164383561644</v>
      </c>
      <c r="E211" s="200">
        <f t="shared" si="104"/>
        <v>0.8852459016393442</v>
      </c>
      <c r="F211" s="200">
        <f t="shared" si="104"/>
        <v>0.9259259259259259</v>
      </c>
      <c r="G211" s="200">
        <f t="shared" si="104"/>
        <v>0.7</v>
      </c>
      <c r="H211" s="200">
        <f t="shared" si="104"/>
        <v>0.7142857142857143</v>
      </c>
      <c r="I211" s="200">
        <f t="shared" si="104"/>
        <v>0.48</v>
      </c>
      <c r="J211" s="200">
        <f t="shared" si="104"/>
        <v>1.8033333333333332</v>
      </c>
      <c r="K211" s="200">
        <f t="shared" si="104"/>
        <v>0.600739371534196</v>
      </c>
      <c r="L211" s="200">
        <f t="shared" si="104"/>
        <v>0.9230769230769231</v>
      </c>
      <c r="M211" s="200">
        <f t="shared" si="104"/>
        <v>0</v>
      </c>
      <c r="N211" s="200">
        <f t="shared" si="104"/>
        <v>0</v>
      </c>
      <c r="O211" s="200">
        <f t="shared" si="104"/>
        <v>0</v>
      </c>
      <c r="P211" s="200">
        <f t="shared" si="104"/>
        <v>0</v>
      </c>
      <c r="Q211" s="200">
        <f t="shared" si="104"/>
        <v>0</v>
      </c>
      <c r="R211" s="200">
        <f t="shared" si="104"/>
        <v>0</v>
      </c>
      <c r="S211" s="200">
        <f t="shared" si="104"/>
        <v>0</v>
      </c>
      <c r="T211" s="200">
        <f t="shared" si="104"/>
        <v>0</v>
      </c>
      <c r="U211" s="200">
        <f t="shared" si="104"/>
        <v>0</v>
      </c>
      <c r="V211" s="200">
        <f t="shared" si="104"/>
        <v>0</v>
      </c>
      <c r="W211" s="200">
        <f t="shared" si="104"/>
        <v>0</v>
      </c>
      <c r="X211" s="200">
        <f t="shared" si="104"/>
        <v>0</v>
      </c>
      <c r="Y211" s="200">
        <f t="shared" si="104"/>
        <v>0</v>
      </c>
      <c r="Z211" s="200">
        <f t="shared" si="104"/>
        <v>0</v>
      </c>
      <c r="AA211" s="200">
        <f t="shared" si="104"/>
        <v>0</v>
      </c>
      <c r="AB211" s="200">
        <f t="shared" si="104"/>
        <v>0</v>
      </c>
      <c r="AC211" s="200">
        <f t="shared" si="104"/>
        <v>0</v>
      </c>
      <c r="AD211" s="200">
        <f t="shared" si="104"/>
        <v>0</v>
      </c>
      <c r="AE211" s="200">
        <f t="shared" si="104"/>
        <v>0</v>
      </c>
      <c r="AF211" s="200">
        <f t="shared" si="104"/>
        <v>0</v>
      </c>
      <c r="AG211" s="200">
        <f t="shared" si="104"/>
        <v>0</v>
      </c>
    </row>
    <row r="212" spans="2:33" ht="14.25" outlineLevel="1">
      <c r="B212" s="55" t="s">
        <v>138</v>
      </c>
      <c r="C212" s="207" t="s">
        <v>174</v>
      </c>
      <c r="D212" s="200">
        <f aca="true" t="shared" si="105" ref="D212:AG212">+IF(C23&lt;&gt;0,D23/C23,0)</f>
        <v>0.8333333333333334</v>
      </c>
      <c r="E212" s="200">
        <f t="shared" si="105"/>
        <v>0.8833333333333333</v>
      </c>
      <c r="F212" s="200">
        <f t="shared" si="105"/>
        <v>0.9245283018867925</v>
      </c>
      <c r="G212" s="200">
        <f t="shared" si="105"/>
        <v>0.7142857142857143</v>
      </c>
      <c r="H212" s="200">
        <f t="shared" si="105"/>
        <v>0.7142857142857143</v>
      </c>
      <c r="I212" s="200">
        <f t="shared" si="105"/>
        <v>0.48</v>
      </c>
      <c r="J212" s="200">
        <f t="shared" si="105"/>
        <v>1.8033333333333332</v>
      </c>
      <c r="K212" s="200">
        <f t="shared" si="105"/>
        <v>0.600739371534196</v>
      </c>
      <c r="L212" s="200">
        <f t="shared" si="105"/>
        <v>0.9230769230769231</v>
      </c>
      <c r="M212" s="200">
        <f t="shared" si="105"/>
        <v>0</v>
      </c>
      <c r="N212" s="200">
        <f t="shared" si="105"/>
        <v>0</v>
      </c>
      <c r="O212" s="200">
        <f t="shared" si="105"/>
        <v>0</v>
      </c>
      <c r="P212" s="200">
        <f t="shared" si="105"/>
        <v>0</v>
      </c>
      <c r="Q212" s="200">
        <f t="shared" si="105"/>
        <v>0</v>
      </c>
      <c r="R212" s="200">
        <f t="shared" si="105"/>
        <v>0</v>
      </c>
      <c r="S212" s="200">
        <f t="shared" si="105"/>
        <v>0</v>
      </c>
      <c r="T212" s="200">
        <f t="shared" si="105"/>
        <v>0</v>
      </c>
      <c r="U212" s="200">
        <f t="shared" si="105"/>
        <v>0</v>
      </c>
      <c r="V212" s="200">
        <f t="shared" si="105"/>
        <v>0</v>
      </c>
      <c r="W212" s="200">
        <f t="shared" si="105"/>
        <v>0</v>
      </c>
      <c r="X212" s="200">
        <f t="shared" si="105"/>
        <v>0</v>
      </c>
      <c r="Y212" s="200">
        <f t="shared" si="105"/>
        <v>0</v>
      </c>
      <c r="Z212" s="200">
        <f t="shared" si="105"/>
        <v>0</v>
      </c>
      <c r="AA212" s="200">
        <f t="shared" si="105"/>
        <v>0</v>
      </c>
      <c r="AB212" s="200">
        <f t="shared" si="105"/>
        <v>0</v>
      </c>
      <c r="AC212" s="200">
        <f t="shared" si="105"/>
        <v>0</v>
      </c>
      <c r="AD212" s="200">
        <f t="shared" si="105"/>
        <v>0</v>
      </c>
      <c r="AE212" s="200">
        <f t="shared" si="105"/>
        <v>0</v>
      </c>
      <c r="AF212" s="200">
        <f t="shared" si="105"/>
        <v>0</v>
      </c>
      <c r="AG212" s="200">
        <f t="shared" si="105"/>
        <v>0</v>
      </c>
    </row>
    <row r="213" spans="2:33" ht="14.25" outlineLevel="1">
      <c r="B213" s="48" t="s">
        <v>46</v>
      </c>
      <c r="C213" s="207" t="s">
        <v>174</v>
      </c>
      <c r="D213" s="200">
        <f aca="true" t="shared" si="106" ref="D213:AG213">+IF(C24&lt;&gt;0,D24/C24,0)</f>
        <v>0.6964593360796952</v>
      </c>
      <c r="E213" s="200">
        <f t="shared" si="106"/>
        <v>0.660230457801308</v>
      </c>
      <c r="F213" s="200">
        <f t="shared" si="106"/>
        <v>1.9353443396226415</v>
      </c>
      <c r="G213" s="200">
        <f t="shared" si="106"/>
        <v>0.24372826248558957</v>
      </c>
      <c r="H213" s="200">
        <f t="shared" si="106"/>
        <v>0.706476</v>
      </c>
      <c r="I213" s="200">
        <f t="shared" si="106"/>
        <v>1.1922259213334918</v>
      </c>
      <c r="J213" s="200">
        <f t="shared" si="106"/>
        <v>1.9115506856991566</v>
      </c>
      <c r="K213" s="200">
        <f t="shared" si="106"/>
        <v>0.5566696624160978</v>
      </c>
      <c r="L213" s="200">
        <f t="shared" si="106"/>
        <v>2.351961627677343</v>
      </c>
      <c r="M213" s="200">
        <f t="shared" si="106"/>
        <v>0</v>
      </c>
      <c r="N213" s="200">
        <f t="shared" si="106"/>
        <v>0</v>
      </c>
      <c r="O213" s="200">
        <f t="shared" si="106"/>
        <v>0</v>
      </c>
      <c r="P213" s="200">
        <f t="shared" si="106"/>
        <v>0</v>
      </c>
      <c r="Q213" s="200">
        <f t="shared" si="106"/>
        <v>0</v>
      </c>
      <c r="R213" s="200">
        <f t="shared" si="106"/>
        <v>0</v>
      </c>
      <c r="S213" s="200">
        <f t="shared" si="106"/>
        <v>0</v>
      </c>
      <c r="T213" s="200">
        <f t="shared" si="106"/>
        <v>0</v>
      </c>
      <c r="U213" s="200">
        <f t="shared" si="106"/>
        <v>0</v>
      </c>
      <c r="V213" s="200">
        <f t="shared" si="106"/>
        <v>0</v>
      </c>
      <c r="W213" s="200">
        <f t="shared" si="106"/>
        <v>0</v>
      </c>
      <c r="X213" s="200">
        <f t="shared" si="106"/>
        <v>0</v>
      </c>
      <c r="Y213" s="200">
        <f t="shared" si="106"/>
        <v>0</v>
      </c>
      <c r="Z213" s="200">
        <f t="shared" si="106"/>
        <v>0</v>
      </c>
      <c r="AA213" s="200">
        <f t="shared" si="106"/>
        <v>0</v>
      </c>
      <c r="AB213" s="200">
        <f t="shared" si="106"/>
        <v>0</v>
      </c>
      <c r="AC213" s="200">
        <f t="shared" si="106"/>
        <v>0</v>
      </c>
      <c r="AD213" s="200">
        <f t="shared" si="106"/>
        <v>0</v>
      </c>
      <c r="AE213" s="200">
        <f t="shared" si="106"/>
        <v>0</v>
      </c>
      <c r="AF213" s="200">
        <f t="shared" si="106"/>
        <v>0</v>
      </c>
      <c r="AG213" s="200">
        <f t="shared" si="106"/>
        <v>0</v>
      </c>
    </row>
    <row r="214" spans="2:33" ht="24" outlineLevel="1">
      <c r="B214" s="64" t="s">
        <v>87</v>
      </c>
      <c r="C214" s="208" t="s">
        <v>174</v>
      </c>
      <c r="D214" s="201">
        <f aca="true" t="shared" si="107" ref="D214:AG214">+IF(C25&lt;&gt;0,D25/C25,0)</f>
        <v>1.0628267935578846</v>
      </c>
      <c r="E214" s="201">
        <f t="shared" si="107"/>
        <v>0.7026598658913986</v>
      </c>
      <c r="F214" s="201">
        <f t="shared" si="107"/>
        <v>1.9353443396226415</v>
      </c>
      <c r="G214" s="201">
        <f t="shared" si="107"/>
        <v>0.24372826248558957</v>
      </c>
      <c r="H214" s="201">
        <f t="shared" si="107"/>
        <v>0</v>
      </c>
      <c r="I214" s="201">
        <f t="shared" si="107"/>
        <v>0</v>
      </c>
      <c r="J214" s="201">
        <f t="shared" si="107"/>
        <v>0</v>
      </c>
      <c r="K214" s="201">
        <f t="shared" si="107"/>
        <v>0</v>
      </c>
      <c r="L214" s="201">
        <f t="shared" si="107"/>
        <v>0</v>
      </c>
      <c r="M214" s="201">
        <f t="shared" si="107"/>
        <v>0</v>
      </c>
      <c r="N214" s="201">
        <f t="shared" si="107"/>
        <v>0</v>
      </c>
      <c r="O214" s="201">
        <f t="shared" si="107"/>
        <v>0</v>
      </c>
      <c r="P214" s="201">
        <f t="shared" si="107"/>
        <v>0</v>
      </c>
      <c r="Q214" s="201">
        <f t="shared" si="107"/>
        <v>0</v>
      </c>
      <c r="R214" s="201">
        <f t="shared" si="107"/>
        <v>0</v>
      </c>
      <c r="S214" s="201">
        <f t="shared" si="107"/>
        <v>0</v>
      </c>
      <c r="T214" s="201">
        <f t="shared" si="107"/>
        <v>0</v>
      </c>
      <c r="U214" s="201">
        <f t="shared" si="107"/>
        <v>0</v>
      </c>
      <c r="V214" s="201">
        <f t="shared" si="107"/>
        <v>0</v>
      </c>
      <c r="W214" s="201">
        <f t="shared" si="107"/>
        <v>0</v>
      </c>
      <c r="X214" s="201">
        <f t="shared" si="107"/>
        <v>0</v>
      </c>
      <c r="Y214" s="201">
        <f t="shared" si="107"/>
        <v>0</v>
      </c>
      <c r="Z214" s="201">
        <f t="shared" si="107"/>
        <v>0</v>
      </c>
      <c r="AA214" s="201">
        <f t="shared" si="107"/>
        <v>0</v>
      </c>
      <c r="AB214" s="201">
        <f t="shared" si="107"/>
        <v>0</v>
      </c>
      <c r="AC214" s="201">
        <f t="shared" si="107"/>
        <v>0</v>
      </c>
      <c r="AD214" s="201">
        <f t="shared" si="107"/>
        <v>0</v>
      </c>
      <c r="AE214" s="201">
        <f t="shared" si="107"/>
        <v>0</v>
      </c>
      <c r="AF214" s="201">
        <f t="shared" si="107"/>
        <v>0</v>
      </c>
      <c r="AG214" s="201">
        <f t="shared" si="107"/>
        <v>0</v>
      </c>
    </row>
    <row r="215" spans="2:33" ht="14.25" outlineLevel="1">
      <c r="B215" s="229" t="s">
        <v>80</v>
      </c>
      <c r="C215" s="209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2:33" ht="14.25" outlineLevel="1">
      <c r="B216" s="226" t="s">
        <v>4</v>
      </c>
      <c r="C216" s="227" t="s">
        <v>174</v>
      </c>
      <c r="D216" s="228">
        <f aca="true" t="shared" si="108" ref="D216:AG216">+IF(C61&lt;&gt;0,D61/C61,0)</f>
        <v>1.0423432552426652</v>
      </c>
      <c r="E216" s="228">
        <f t="shared" si="108"/>
        <v>1.026999970016262</v>
      </c>
      <c r="F216" s="228">
        <f t="shared" si="108"/>
        <v>1.026999975252774</v>
      </c>
      <c r="G216" s="228">
        <f t="shared" si="108"/>
        <v>1.0270000467291374</v>
      </c>
      <c r="H216" s="228">
        <f t="shared" si="108"/>
        <v>1.0259999800415043</v>
      </c>
      <c r="I216" s="228">
        <f t="shared" si="108"/>
        <v>1.0260000148211241</v>
      </c>
      <c r="J216" s="228">
        <f t="shared" si="108"/>
        <v>1.0180319836666087</v>
      </c>
      <c r="K216" s="228">
        <f t="shared" si="108"/>
        <v>1.0230000170165205</v>
      </c>
      <c r="L216" s="228">
        <f t="shared" si="108"/>
        <v>1.0229999705790578</v>
      </c>
      <c r="M216" s="228">
        <f t="shared" si="108"/>
        <v>0</v>
      </c>
      <c r="N216" s="228">
        <f t="shared" si="108"/>
        <v>0</v>
      </c>
      <c r="O216" s="228">
        <f t="shared" si="108"/>
        <v>0</v>
      </c>
      <c r="P216" s="228">
        <f t="shared" si="108"/>
        <v>0</v>
      </c>
      <c r="Q216" s="228">
        <f t="shared" si="108"/>
        <v>0</v>
      </c>
      <c r="R216" s="228">
        <f t="shared" si="108"/>
        <v>0</v>
      </c>
      <c r="S216" s="228">
        <f t="shared" si="108"/>
        <v>0</v>
      </c>
      <c r="T216" s="228">
        <f t="shared" si="108"/>
        <v>0</v>
      </c>
      <c r="U216" s="228">
        <f t="shared" si="108"/>
        <v>0</v>
      </c>
      <c r="V216" s="228">
        <f t="shared" si="108"/>
        <v>0</v>
      </c>
      <c r="W216" s="228">
        <f t="shared" si="108"/>
        <v>0</v>
      </c>
      <c r="X216" s="228">
        <f t="shared" si="108"/>
        <v>0</v>
      </c>
      <c r="Y216" s="228">
        <f t="shared" si="108"/>
        <v>0</v>
      </c>
      <c r="Z216" s="228">
        <f t="shared" si="108"/>
        <v>0</v>
      </c>
      <c r="AA216" s="228">
        <f t="shared" si="108"/>
        <v>0</v>
      </c>
      <c r="AB216" s="228">
        <f t="shared" si="108"/>
        <v>0</v>
      </c>
      <c r="AC216" s="228">
        <f t="shared" si="108"/>
        <v>0</v>
      </c>
      <c r="AD216" s="228">
        <f t="shared" si="108"/>
        <v>0</v>
      </c>
      <c r="AE216" s="228">
        <f t="shared" si="108"/>
        <v>0</v>
      </c>
      <c r="AF216" s="228">
        <f t="shared" si="108"/>
        <v>0</v>
      </c>
      <c r="AG216" s="228">
        <f t="shared" si="108"/>
        <v>0</v>
      </c>
    </row>
    <row r="217" spans="2:33" ht="14.25" outlineLevel="1">
      <c r="B217" s="48" t="s">
        <v>5</v>
      </c>
      <c r="C217" s="207" t="s">
        <v>174</v>
      </c>
      <c r="D217" s="200">
        <f aca="true" t="shared" si="109" ref="D217:AG217">+IF(C62&lt;&gt;0,D62/C62,0)</f>
        <v>1.0159989572447419</v>
      </c>
      <c r="E217" s="200">
        <f t="shared" si="109"/>
        <v>1.026000056087401</v>
      </c>
      <c r="F217" s="200">
        <f t="shared" si="109"/>
        <v>1.0260000043984203</v>
      </c>
      <c r="G217" s="200">
        <f t="shared" si="109"/>
        <v>1.0260001016621765</v>
      </c>
      <c r="H217" s="200">
        <f t="shared" si="109"/>
        <v>1.0249997985451678</v>
      </c>
      <c r="I217" s="200">
        <f t="shared" si="109"/>
        <v>1.0250000582344707</v>
      </c>
      <c r="J217" s="200">
        <f t="shared" si="109"/>
        <v>1.0249999147788282</v>
      </c>
      <c r="K217" s="200">
        <f t="shared" si="109"/>
        <v>1.023000018291375</v>
      </c>
      <c r="L217" s="200">
        <f t="shared" si="109"/>
        <v>1.023000080189681</v>
      </c>
      <c r="M217" s="200">
        <f t="shared" si="109"/>
        <v>0</v>
      </c>
      <c r="N217" s="200">
        <f t="shared" si="109"/>
        <v>0</v>
      </c>
      <c r="O217" s="200">
        <f t="shared" si="109"/>
        <v>0</v>
      </c>
      <c r="P217" s="200">
        <f t="shared" si="109"/>
        <v>0</v>
      </c>
      <c r="Q217" s="200">
        <f t="shared" si="109"/>
        <v>0</v>
      </c>
      <c r="R217" s="200">
        <f t="shared" si="109"/>
        <v>0</v>
      </c>
      <c r="S217" s="200">
        <f t="shared" si="109"/>
        <v>0</v>
      </c>
      <c r="T217" s="200">
        <f t="shared" si="109"/>
        <v>0</v>
      </c>
      <c r="U217" s="200">
        <f t="shared" si="109"/>
        <v>0</v>
      </c>
      <c r="V217" s="200">
        <f t="shared" si="109"/>
        <v>0</v>
      </c>
      <c r="W217" s="200">
        <f t="shared" si="109"/>
        <v>0</v>
      </c>
      <c r="X217" s="200">
        <f t="shared" si="109"/>
        <v>0</v>
      </c>
      <c r="Y217" s="200">
        <f t="shared" si="109"/>
        <v>0</v>
      </c>
      <c r="Z217" s="200">
        <f t="shared" si="109"/>
        <v>0</v>
      </c>
      <c r="AA217" s="200">
        <f t="shared" si="109"/>
        <v>0</v>
      </c>
      <c r="AB217" s="200">
        <f t="shared" si="109"/>
        <v>0</v>
      </c>
      <c r="AC217" s="200">
        <f t="shared" si="109"/>
        <v>0</v>
      </c>
      <c r="AD217" s="200">
        <f t="shared" si="109"/>
        <v>0</v>
      </c>
      <c r="AE217" s="200">
        <f t="shared" si="109"/>
        <v>0</v>
      </c>
      <c r="AF217" s="200">
        <f t="shared" si="109"/>
        <v>0</v>
      </c>
      <c r="AG217" s="200">
        <f t="shared" si="109"/>
        <v>0</v>
      </c>
    </row>
    <row r="218" spans="2:33" ht="14.25" outlineLevel="1">
      <c r="B218" s="48" t="s">
        <v>81</v>
      </c>
      <c r="C218" s="207" t="s">
        <v>174</v>
      </c>
      <c r="D218" s="200">
        <f aca="true" t="shared" si="110" ref="D218:AG218">+IF(C63&lt;&gt;0,D63/C63,0)</f>
        <v>1.0666666666666667</v>
      </c>
      <c r="E218" s="200">
        <f t="shared" si="110"/>
        <v>0.8671875</v>
      </c>
      <c r="F218" s="200">
        <f t="shared" si="110"/>
        <v>0</v>
      </c>
      <c r="G218" s="200">
        <f t="shared" si="110"/>
        <v>0</v>
      </c>
      <c r="H218" s="200">
        <f t="shared" si="110"/>
        <v>0</v>
      </c>
      <c r="I218" s="200">
        <f t="shared" si="110"/>
        <v>0</v>
      </c>
      <c r="J218" s="200">
        <f t="shared" si="110"/>
        <v>0</v>
      </c>
      <c r="K218" s="200">
        <f t="shared" si="110"/>
        <v>0</v>
      </c>
      <c r="L218" s="200">
        <f t="shared" si="110"/>
        <v>0</v>
      </c>
      <c r="M218" s="200">
        <f t="shared" si="110"/>
        <v>0</v>
      </c>
      <c r="N218" s="200">
        <f t="shared" si="110"/>
        <v>0</v>
      </c>
      <c r="O218" s="200">
        <f t="shared" si="110"/>
        <v>0</v>
      </c>
      <c r="P218" s="200">
        <f t="shared" si="110"/>
        <v>0</v>
      </c>
      <c r="Q218" s="200">
        <f t="shared" si="110"/>
        <v>0</v>
      </c>
      <c r="R218" s="200">
        <f t="shared" si="110"/>
        <v>0</v>
      </c>
      <c r="S218" s="200">
        <f t="shared" si="110"/>
        <v>0</v>
      </c>
      <c r="T218" s="200">
        <f t="shared" si="110"/>
        <v>0</v>
      </c>
      <c r="U218" s="200">
        <f t="shared" si="110"/>
        <v>0</v>
      </c>
      <c r="V218" s="200">
        <f t="shared" si="110"/>
        <v>0</v>
      </c>
      <c r="W218" s="200">
        <f t="shared" si="110"/>
        <v>0</v>
      </c>
      <c r="X218" s="200">
        <f t="shared" si="110"/>
        <v>0</v>
      </c>
      <c r="Y218" s="200">
        <f t="shared" si="110"/>
        <v>0</v>
      </c>
      <c r="Z218" s="200">
        <f t="shared" si="110"/>
        <v>0</v>
      </c>
      <c r="AA218" s="200">
        <f t="shared" si="110"/>
        <v>0</v>
      </c>
      <c r="AB218" s="200">
        <f t="shared" si="110"/>
        <v>0</v>
      </c>
      <c r="AC218" s="200">
        <f t="shared" si="110"/>
        <v>0</v>
      </c>
      <c r="AD218" s="200">
        <f t="shared" si="110"/>
        <v>0</v>
      </c>
      <c r="AE218" s="200">
        <f t="shared" si="110"/>
        <v>0</v>
      </c>
      <c r="AF218" s="200">
        <f t="shared" si="110"/>
        <v>0</v>
      </c>
      <c r="AG218" s="200">
        <f t="shared" si="110"/>
        <v>0</v>
      </c>
    </row>
    <row r="219" spans="2:33" ht="14.25" outlineLevel="1">
      <c r="B219" s="62" t="s">
        <v>82</v>
      </c>
      <c r="C219" s="208" t="s">
        <v>174</v>
      </c>
      <c r="D219" s="201">
        <f aca="true" t="shared" si="111" ref="D219:AG219">+IF(C64&lt;&gt;0,D64/C64,0)</f>
        <v>1.00069902457556</v>
      </c>
      <c r="E219" s="201">
        <f t="shared" si="111"/>
        <v>0.660230457801308</v>
      </c>
      <c r="F219" s="201">
        <f t="shared" si="111"/>
        <v>1.9353443396226415</v>
      </c>
      <c r="G219" s="201">
        <f t="shared" si="111"/>
        <v>0.24372826248558957</v>
      </c>
      <c r="H219" s="201">
        <f t="shared" si="111"/>
        <v>0</v>
      </c>
      <c r="I219" s="201">
        <f t="shared" si="111"/>
        <v>0</v>
      </c>
      <c r="J219" s="201">
        <f t="shared" si="111"/>
        <v>0</v>
      </c>
      <c r="K219" s="201">
        <f t="shared" si="111"/>
        <v>0</v>
      </c>
      <c r="L219" s="201">
        <f t="shared" si="111"/>
        <v>0</v>
      </c>
      <c r="M219" s="201">
        <f t="shared" si="111"/>
        <v>0</v>
      </c>
      <c r="N219" s="201">
        <f t="shared" si="111"/>
        <v>0</v>
      </c>
      <c r="O219" s="201">
        <f t="shared" si="111"/>
        <v>0</v>
      </c>
      <c r="P219" s="201">
        <f t="shared" si="111"/>
        <v>0</v>
      </c>
      <c r="Q219" s="201">
        <f t="shared" si="111"/>
        <v>0</v>
      </c>
      <c r="R219" s="201">
        <f t="shared" si="111"/>
        <v>0</v>
      </c>
      <c r="S219" s="201">
        <f t="shared" si="111"/>
        <v>0</v>
      </c>
      <c r="T219" s="201">
        <f t="shared" si="111"/>
        <v>0</v>
      </c>
      <c r="U219" s="201">
        <f t="shared" si="111"/>
        <v>0</v>
      </c>
      <c r="V219" s="201">
        <f t="shared" si="111"/>
        <v>0</v>
      </c>
      <c r="W219" s="201">
        <f t="shared" si="111"/>
        <v>0</v>
      </c>
      <c r="X219" s="201">
        <f t="shared" si="111"/>
        <v>0</v>
      </c>
      <c r="Y219" s="201">
        <f t="shared" si="111"/>
        <v>0</v>
      </c>
      <c r="Z219" s="201">
        <f t="shared" si="111"/>
        <v>0</v>
      </c>
      <c r="AA219" s="201">
        <f t="shared" si="111"/>
        <v>0</v>
      </c>
      <c r="AB219" s="201">
        <f t="shared" si="111"/>
        <v>0</v>
      </c>
      <c r="AC219" s="201">
        <f t="shared" si="111"/>
        <v>0</v>
      </c>
      <c r="AD219" s="201">
        <f t="shared" si="111"/>
        <v>0</v>
      </c>
      <c r="AE219" s="201">
        <f t="shared" si="111"/>
        <v>0</v>
      </c>
      <c r="AF219" s="201">
        <f t="shared" si="111"/>
        <v>0</v>
      </c>
      <c r="AG219" s="201">
        <f t="shared" si="111"/>
        <v>0</v>
      </c>
    </row>
  </sheetData>
  <sheetProtection/>
  <conditionalFormatting sqref="C92:AG92 C107:AG108 C83:AG90 A119:A122 B119:B121 C115:AG115 C97:AG105 C94:AG95 C119:AG122 C110:AG110 C112:AG112">
    <cfRule type="cellIs" priority="37" dxfId="24" operator="equal" stopIfTrue="1">
      <formula>"Błąd"</formula>
    </cfRule>
  </conditionalFormatting>
  <conditionalFormatting sqref="C55:AG55 C58:AG58">
    <cfRule type="expression" priority="39" dxfId="25" stopIfTrue="1">
      <formula>LEFT(C55,3)="Nie"</formula>
    </cfRule>
  </conditionalFormatting>
  <conditionalFormatting sqref="C135:AG136">
    <cfRule type="cellIs" priority="24" dxfId="26" operator="lessThan" stopIfTrue="1">
      <formula>$B$132</formula>
    </cfRule>
    <cfRule type="cellIs" priority="25" dxfId="7" operator="lessThan" stopIfTrue="1">
      <formula>$B$133</formula>
    </cfRule>
    <cfRule type="cellIs" priority="26" dxfId="6" operator="lessThan" stopIfTrue="1">
      <formula>$B$134</formula>
    </cfRule>
  </conditionalFormatting>
  <conditionalFormatting sqref="C59:AG59">
    <cfRule type="expression" priority="29" dxfId="25" stopIfTrue="1">
      <formula>LEFT(C59,3)="Nie"</formula>
    </cfRule>
  </conditionalFormatting>
  <conditionalFormatting sqref="C138:AG139">
    <cfRule type="cellIs" priority="19" dxfId="26" operator="lessThan" stopIfTrue="1">
      <formula>$B$132</formula>
    </cfRule>
    <cfRule type="cellIs" priority="20" dxfId="7" operator="lessThan" stopIfTrue="1">
      <formula>$B$133</formula>
    </cfRule>
    <cfRule type="cellIs" priority="21" dxfId="6" operator="lessThan" stopIfTrue="1">
      <formula>$B$134</formula>
    </cfRule>
  </conditionalFormatting>
  <conditionalFormatting sqref="D199:AG214">
    <cfRule type="cellIs" priority="14" dxfId="12" operator="between" stopIfTrue="1">
      <formula>0.00000001</formula>
      <formula>1</formula>
    </cfRule>
    <cfRule type="cellIs" priority="15" dxfId="0" operator="greaterThan" stopIfTrue="1">
      <formula>1</formula>
    </cfRule>
  </conditionalFormatting>
  <conditionalFormatting sqref="D216:AG219">
    <cfRule type="cellIs" priority="12" dxfId="12" operator="between" stopIfTrue="1">
      <formula>0.00000001</formula>
      <formula>1</formula>
    </cfRule>
    <cfRule type="cellIs" priority="13" dxfId="0" operator="greaterThan" stopIfTrue="1">
      <formula>1</formula>
    </cfRule>
  </conditionalFormatting>
  <conditionalFormatting sqref="C114:AG114">
    <cfRule type="cellIs" priority="11" dxfId="24" operator="equal" stopIfTrue="1">
      <formula>"Błąd"</formula>
    </cfRule>
  </conditionalFormatting>
  <conditionalFormatting sqref="C56:AG56">
    <cfRule type="expression" priority="10" dxfId="25" stopIfTrue="1">
      <formula>LEFT(C56,3)="Nie"</formula>
    </cfRule>
  </conditionalFormatting>
  <conditionalFormatting sqref="D144:AG160">
    <cfRule type="cellIs" priority="40" dxfId="26" operator="notBetween" stopIfTrue="1">
      <formula>-$B$143</formula>
      <formula>$B$143</formula>
    </cfRule>
    <cfRule type="cellIs" priority="41" dxfId="7" operator="notBetween" stopIfTrue="1">
      <formula>-$B$142</formula>
      <formula>$B$142</formula>
    </cfRule>
    <cfRule type="cellIs" priority="42" dxfId="6" operator="notBetween" stopIfTrue="1">
      <formula>-$B$141</formula>
      <formula>$B$141</formula>
    </cfRule>
  </conditionalFormatting>
  <conditionalFormatting sqref="C93:AG93">
    <cfRule type="cellIs" priority="6" dxfId="24" operator="equal" stopIfTrue="1">
      <formula>"Błąd"</formula>
    </cfRule>
  </conditionalFormatting>
  <conditionalFormatting sqref="C116:AG116">
    <cfRule type="cellIs" priority="5" dxfId="24" operator="equal" stopIfTrue="1">
      <formula>"Błąd"</formula>
    </cfRule>
  </conditionalFormatting>
  <conditionalFormatting sqref="C118:AG118">
    <cfRule type="cellIs" priority="4" dxfId="24" operator="equal" stopIfTrue="1">
      <formula>"Błąd"</formula>
    </cfRule>
  </conditionalFormatting>
  <conditionalFormatting sqref="C117:AG117">
    <cfRule type="cellIs" priority="3" dxfId="24" operator="equal" stopIfTrue="1">
      <formula>"Błąd"</formula>
    </cfRule>
  </conditionalFormatting>
  <conditionalFormatting sqref="C111:AG111">
    <cfRule type="cellIs" priority="2" dxfId="24" operator="equal" stopIfTrue="1">
      <formula>"Błąd"</formula>
    </cfRule>
  </conditionalFormatting>
  <conditionalFormatting sqref="C113:AG113">
    <cfRule type="cellIs" priority="1" dxfId="24" operator="equal" stopIfTrue="1">
      <formula>"Błąd"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blackAndWhite="1" horizontalDpi="300" verticalDpi="300" orientation="landscape" paperSize="9" scale="77" r:id="rId1"/>
  <headerFooter>
    <oddFooter>&amp;L&amp;"Czcionka tekstu podstawowego,Kursywa"&amp;8Wersja szablonu wydruku: 2012-11-07a&amp;C&amp;8Strona &amp;P z &amp;N&amp;R&amp;8Wydruk z dn.: &amp;D - &amp;T</oddFooter>
  </headerFooter>
  <rowBreaks count="1" manualBreakCount="1">
    <brk id="45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6:AH79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09765625" style="0" customWidth="1"/>
    <col min="5" max="12" width="16.69921875" style="0" bestFit="1" customWidth="1"/>
  </cols>
  <sheetData>
    <row r="5" ht="15" thickBot="1"/>
    <row r="6" spans="2:34" ht="15" thickBot="1">
      <c r="B6" s="3" t="s">
        <v>0</v>
      </c>
      <c r="C6" s="32" t="s">
        <v>1</v>
      </c>
      <c r="D6" s="4" t="s">
        <v>243</v>
      </c>
      <c r="E6" s="4" t="s">
        <v>297</v>
      </c>
      <c r="F6" s="4" t="s">
        <v>298</v>
      </c>
      <c r="G6" s="4" t="s">
        <v>299</v>
      </c>
      <c r="H6" s="4" t="s">
        <v>300</v>
      </c>
      <c r="I6" s="4" t="s">
        <v>301</v>
      </c>
      <c r="J6" s="4" t="s">
        <v>302</v>
      </c>
      <c r="K6" s="4" t="s">
        <v>303</v>
      </c>
      <c r="L6" s="4" t="s">
        <v>304</v>
      </c>
      <c r="M6" s="4" t="s">
        <v>305</v>
      </c>
      <c r="N6" s="4" t="s">
        <v>306</v>
      </c>
      <c r="O6" s="4" t="s">
        <v>307</v>
      </c>
      <c r="P6" s="4" t="s">
        <v>308</v>
      </c>
      <c r="Q6" s="4" t="s">
        <v>309</v>
      </c>
      <c r="R6" s="4" t="s">
        <v>310</v>
      </c>
      <c r="S6" s="4" t="s">
        <v>311</v>
      </c>
      <c r="T6" s="4" t="s">
        <v>312</v>
      </c>
      <c r="U6" s="4" t="s">
        <v>313</v>
      </c>
      <c r="V6" s="4" t="s">
        <v>314</v>
      </c>
      <c r="W6" s="4" t="s">
        <v>315</v>
      </c>
      <c r="X6" s="4" t="s">
        <v>316</v>
      </c>
      <c r="Y6" s="4" t="s">
        <v>317</v>
      </c>
      <c r="Z6" s="4" t="s">
        <v>318</v>
      </c>
      <c r="AA6" s="4" t="s">
        <v>319</v>
      </c>
      <c r="AB6" s="4" t="s">
        <v>320</v>
      </c>
      <c r="AC6" s="4" t="s">
        <v>321</v>
      </c>
      <c r="AD6" s="4" t="s">
        <v>322</v>
      </c>
      <c r="AE6" s="4" t="s">
        <v>25</v>
      </c>
      <c r="AF6" s="4" t="s">
        <v>323</v>
      </c>
      <c r="AG6" s="4" t="s">
        <v>324</v>
      </c>
      <c r="AH6" s="4" t="s">
        <v>325</v>
      </c>
    </row>
    <row r="7" spans="1:34" ht="14.25">
      <c r="A7" s="75">
        <v>1</v>
      </c>
      <c r="B7" s="233" t="s">
        <v>326</v>
      </c>
      <c r="C7" s="13" t="s">
        <v>91</v>
      </c>
      <c r="D7" s="13" t="str">
        <f aca="true" t="shared" si="0" ref="D7:D23">+"rokprognozy="&amp;D$6&amp;" i lp="&amp;$A7</f>
        <v>rokprognozy=2013 i lp=1</v>
      </c>
      <c r="E7" s="13" t="str">
        <f aca="true" t="shared" si="1" ref="E7:T22">+"rokprognozy="&amp;E$6&amp;" i lp="&amp;$A7</f>
        <v>rokprognozy=2014 i lp=1</v>
      </c>
      <c r="F7" s="13" t="str">
        <f t="shared" si="1"/>
        <v>rokprognozy=2015 i lp=1</v>
      </c>
      <c r="G7" s="13" t="str">
        <f t="shared" si="1"/>
        <v>rokprognozy=2016 i lp=1</v>
      </c>
      <c r="H7" s="13" t="str">
        <f t="shared" si="1"/>
        <v>rokprognozy=2017 i lp=1</v>
      </c>
      <c r="I7" s="13" t="str">
        <f t="shared" si="1"/>
        <v>rokprognozy=2018 i lp=1</v>
      </c>
      <c r="J7" s="13" t="str">
        <f t="shared" si="1"/>
        <v>rokprognozy=2019 i lp=1</v>
      </c>
      <c r="K7" s="13" t="str">
        <f t="shared" si="1"/>
        <v>rokprognozy=2020 i lp=1</v>
      </c>
      <c r="L7" s="13" t="str">
        <f t="shared" si="1"/>
        <v>rokprognozy=2021 i lp=1</v>
      </c>
      <c r="M7" s="13" t="str">
        <f t="shared" si="1"/>
        <v>rokprognozy=2022 i lp=1</v>
      </c>
      <c r="N7" s="13" t="str">
        <f t="shared" si="1"/>
        <v>rokprognozy=2023 i lp=1</v>
      </c>
      <c r="O7" s="13" t="str">
        <f t="shared" si="1"/>
        <v>rokprognozy=2024 i lp=1</v>
      </c>
      <c r="P7" s="13" t="str">
        <f t="shared" si="1"/>
        <v>rokprognozy=2025 i lp=1</v>
      </c>
      <c r="Q7" s="13" t="str">
        <f t="shared" si="1"/>
        <v>rokprognozy=2026 i lp=1</v>
      </c>
      <c r="R7" s="13" t="str">
        <f t="shared" si="1"/>
        <v>rokprognozy=2027 i lp=1</v>
      </c>
      <c r="S7" s="13" t="str">
        <f t="shared" si="1"/>
        <v>rokprognozy=2028 i lp=1</v>
      </c>
      <c r="T7" s="13" t="str">
        <f t="shared" si="1"/>
        <v>rokprognozy=2029 i lp=1</v>
      </c>
      <c r="U7" s="13" t="str">
        <f aca="true" t="shared" si="2" ref="U7:AH22">+"rokprognozy="&amp;U$6&amp;" i lp="&amp;$A7</f>
        <v>rokprognozy=2030 i lp=1</v>
      </c>
      <c r="V7" s="13" t="str">
        <f t="shared" si="2"/>
        <v>rokprognozy=2031 i lp=1</v>
      </c>
      <c r="W7" s="13" t="str">
        <f t="shared" si="2"/>
        <v>rokprognozy=2032 i lp=1</v>
      </c>
      <c r="X7" s="13" t="str">
        <f t="shared" si="2"/>
        <v>rokprognozy=2033 i lp=1</v>
      </c>
      <c r="Y7" s="13" t="str">
        <f t="shared" si="2"/>
        <v>rokprognozy=2034 i lp=1</v>
      </c>
      <c r="Z7" s="13" t="str">
        <f t="shared" si="2"/>
        <v>rokprognozy=2035 i lp=1</v>
      </c>
      <c r="AA7" s="13" t="str">
        <f t="shared" si="2"/>
        <v>rokprognozy=2036 i lp=1</v>
      </c>
      <c r="AB7" s="13" t="str">
        <f t="shared" si="2"/>
        <v>rokprognozy=2037 i lp=1</v>
      </c>
      <c r="AC7" s="13" t="str">
        <f t="shared" si="2"/>
        <v>rokprognozy=2038 i lp=1</v>
      </c>
      <c r="AD7" s="13" t="str">
        <f t="shared" si="2"/>
        <v>rokprognozy=2039 i lp=1</v>
      </c>
      <c r="AE7" s="13" t="str">
        <f t="shared" si="2"/>
        <v>rokprognozy=2040 i lp=1</v>
      </c>
      <c r="AF7" s="13" t="str">
        <f t="shared" si="2"/>
        <v>rokprognozy=2041 i lp=1</v>
      </c>
      <c r="AG7" s="13" t="str">
        <f t="shared" si="2"/>
        <v>rokprognozy=2042 i lp=1</v>
      </c>
      <c r="AH7" s="13" t="str">
        <f t="shared" si="2"/>
        <v>rokprognozy=2043 i lp=1</v>
      </c>
    </row>
    <row r="8" spans="1:34" ht="14.25">
      <c r="A8" s="75">
        <v>2</v>
      </c>
      <c r="B8" s="26" t="s">
        <v>92</v>
      </c>
      <c r="C8" s="13" t="s">
        <v>266</v>
      </c>
      <c r="D8" s="13" t="str">
        <f t="shared" si="0"/>
        <v>rokprognozy=2013 i lp=2</v>
      </c>
      <c r="E8" s="13" t="str">
        <f t="shared" si="1"/>
        <v>rokprognozy=2014 i lp=2</v>
      </c>
      <c r="F8" s="13" t="str">
        <f t="shared" si="1"/>
        <v>rokprognozy=2015 i lp=2</v>
      </c>
      <c r="G8" s="13" t="str">
        <f t="shared" si="1"/>
        <v>rokprognozy=2016 i lp=2</v>
      </c>
      <c r="H8" s="13" t="str">
        <f t="shared" si="1"/>
        <v>rokprognozy=2017 i lp=2</v>
      </c>
      <c r="I8" s="13" t="str">
        <f t="shared" si="1"/>
        <v>rokprognozy=2018 i lp=2</v>
      </c>
      <c r="J8" s="13" t="str">
        <f t="shared" si="1"/>
        <v>rokprognozy=2019 i lp=2</v>
      </c>
      <c r="K8" s="13" t="str">
        <f t="shared" si="1"/>
        <v>rokprognozy=2020 i lp=2</v>
      </c>
      <c r="L8" s="13" t="str">
        <f t="shared" si="1"/>
        <v>rokprognozy=2021 i lp=2</v>
      </c>
      <c r="M8" s="13" t="str">
        <f t="shared" si="1"/>
        <v>rokprognozy=2022 i lp=2</v>
      </c>
      <c r="N8" s="13" t="str">
        <f t="shared" si="1"/>
        <v>rokprognozy=2023 i lp=2</v>
      </c>
      <c r="O8" s="13" t="str">
        <f t="shared" si="1"/>
        <v>rokprognozy=2024 i lp=2</v>
      </c>
      <c r="P8" s="13" t="str">
        <f t="shared" si="1"/>
        <v>rokprognozy=2025 i lp=2</v>
      </c>
      <c r="Q8" s="13" t="str">
        <f t="shared" si="1"/>
        <v>rokprognozy=2026 i lp=2</v>
      </c>
      <c r="R8" s="13" t="str">
        <f t="shared" si="1"/>
        <v>rokprognozy=2027 i lp=2</v>
      </c>
      <c r="S8" s="13" t="str">
        <f t="shared" si="1"/>
        <v>rokprognozy=2028 i lp=2</v>
      </c>
      <c r="T8" s="13" t="str">
        <f t="shared" si="1"/>
        <v>rokprognozy=2029 i lp=2</v>
      </c>
      <c r="U8" s="13" t="str">
        <f t="shared" si="2"/>
        <v>rokprognozy=2030 i lp=2</v>
      </c>
      <c r="V8" s="13" t="str">
        <f t="shared" si="2"/>
        <v>rokprognozy=2031 i lp=2</v>
      </c>
      <c r="W8" s="13" t="str">
        <f t="shared" si="2"/>
        <v>rokprognozy=2032 i lp=2</v>
      </c>
      <c r="X8" s="13" t="str">
        <f t="shared" si="2"/>
        <v>rokprognozy=2033 i lp=2</v>
      </c>
      <c r="Y8" s="13" t="str">
        <f t="shared" si="2"/>
        <v>rokprognozy=2034 i lp=2</v>
      </c>
      <c r="Z8" s="13" t="str">
        <f t="shared" si="2"/>
        <v>rokprognozy=2035 i lp=2</v>
      </c>
      <c r="AA8" s="13" t="str">
        <f t="shared" si="2"/>
        <v>rokprognozy=2036 i lp=2</v>
      </c>
      <c r="AB8" s="13" t="str">
        <f t="shared" si="2"/>
        <v>rokprognozy=2037 i lp=2</v>
      </c>
      <c r="AC8" s="13" t="str">
        <f t="shared" si="2"/>
        <v>rokprognozy=2038 i lp=2</v>
      </c>
      <c r="AD8" s="13" t="str">
        <f t="shared" si="2"/>
        <v>rokprognozy=2039 i lp=2</v>
      </c>
      <c r="AE8" s="13" t="str">
        <f t="shared" si="2"/>
        <v>rokprognozy=2040 i lp=2</v>
      </c>
      <c r="AF8" s="13" t="str">
        <f t="shared" si="2"/>
        <v>rokprognozy=2041 i lp=2</v>
      </c>
      <c r="AG8" s="13" t="str">
        <f t="shared" si="2"/>
        <v>rokprognozy=2042 i lp=2</v>
      </c>
      <c r="AH8" s="13" t="str">
        <f t="shared" si="2"/>
        <v>rokprognozy=2043 i lp=2</v>
      </c>
    </row>
    <row r="9" spans="1:34" ht="14.25">
      <c r="A9" s="75">
        <v>3</v>
      </c>
      <c r="B9" s="26" t="s">
        <v>245</v>
      </c>
      <c r="C9" s="13" t="s">
        <v>244</v>
      </c>
      <c r="D9" s="13" t="str">
        <f t="shared" si="0"/>
        <v>rokprognozy=2013 i lp=3</v>
      </c>
      <c r="E9" s="13" t="str">
        <f t="shared" si="1"/>
        <v>rokprognozy=2014 i lp=3</v>
      </c>
      <c r="F9" s="13" t="str">
        <f t="shared" si="1"/>
        <v>rokprognozy=2015 i lp=3</v>
      </c>
      <c r="G9" s="13" t="str">
        <f t="shared" si="1"/>
        <v>rokprognozy=2016 i lp=3</v>
      </c>
      <c r="H9" s="13" t="str">
        <f t="shared" si="1"/>
        <v>rokprognozy=2017 i lp=3</v>
      </c>
      <c r="I9" s="13" t="str">
        <f t="shared" si="1"/>
        <v>rokprognozy=2018 i lp=3</v>
      </c>
      <c r="J9" s="13" t="str">
        <f t="shared" si="1"/>
        <v>rokprognozy=2019 i lp=3</v>
      </c>
      <c r="K9" s="13" t="str">
        <f t="shared" si="1"/>
        <v>rokprognozy=2020 i lp=3</v>
      </c>
      <c r="L9" s="13" t="str">
        <f t="shared" si="1"/>
        <v>rokprognozy=2021 i lp=3</v>
      </c>
      <c r="M9" s="13" t="str">
        <f t="shared" si="1"/>
        <v>rokprognozy=2022 i lp=3</v>
      </c>
      <c r="N9" s="13" t="str">
        <f t="shared" si="1"/>
        <v>rokprognozy=2023 i lp=3</v>
      </c>
      <c r="O9" s="13" t="str">
        <f t="shared" si="1"/>
        <v>rokprognozy=2024 i lp=3</v>
      </c>
      <c r="P9" s="13" t="str">
        <f t="shared" si="1"/>
        <v>rokprognozy=2025 i lp=3</v>
      </c>
      <c r="Q9" s="13" t="str">
        <f t="shared" si="1"/>
        <v>rokprognozy=2026 i lp=3</v>
      </c>
      <c r="R9" s="13" t="str">
        <f t="shared" si="1"/>
        <v>rokprognozy=2027 i lp=3</v>
      </c>
      <c r="S9" s="13" t="str">
        <f t="shared" si="1"/>
        <v>rokprognozy=2028 i lp=3</v>
      </c>
      <c r="T9" s="13" t="str">
        <f t="shared" si="1"/>
        <v>rokprognozy=2029 i lp=3</v>
      </c>
      <c r="U9" s="13" t="str">
        <f t="shared" si="2"/>
        <v>rokprognozy=2030 i lp=3</v>
      </c>
      <c r="V9" s="13" t="str">
        <f t="shared" si="2"/>
        <v>rokprognozy=2031 i lp=3</v>
      </c>
      <c r="W9" s="13" t="str">
        <f t="shared" si="2"/>
        <v>rokprognozy=2032 i lp=3</v>
      </c>
      <c r="X9" s="13" t="str">
        <f t="shared" si="2"/>
        <v>rokprognozy=2033 i lp=3</v>
      </c>
      <c r="Y9" s="13" t="str">
        <f t="shared" si="2"/>
        <v>rokprognozy=2034 i lp=3</v>
      </c>
      <c r="Z9" s="13" t="str">
        <f t="shared" si="2"/>
        <v>rokprognozy=2035 i lp=3</v>
      </c>
      <c r="AA9" s="13" t="str">
        <f t="shared" si="2"/>
        <v>rokprognozy=2036 i lp=3</v>
      </c>
      <c r="AB9" s="13" t="str">
        <f t="shared" si="2"/>
        <v>rokprognozy=2037 i lp=3</v>
      </c>
      <c r="AC9" s="13" t="str">
        <f t="shared" si="2"/>
        <v>rokprognozy=2038 i lp=3</v>
      </c>
      <c r="AD9" s="13" t="str">
        <f t="shared" si="2"/>
        <v>rokprognozy=2039 i lp=3</v>
      </c>
      <c r="AE9" s="13" t="str">
        <f t="shared" si="2"/>
        <v>rokprognozy=2040 i lp=3</v>
      </c>
      <c r="AF9" s="13" t="str">
        <f t="shared" si="2"/>
        <v>rokprognozy=2041 i lp=3</v>
      </c>
      <c r="AG9" s="13" t="str">
        <f t="shared" si="2"/>
        <v>rokprognozy=2042 i lp=3</v>
      </c>
      <c r="AH9" s="13" t="str">
        <f t="shared" si="2"/>
        <v>rokprognozy=2043 i lp=3</v>
      </c>
    </row>
    <row r="10" spans="1:34" ht="14.25">
      <c r="A10" s="75">
        <v>4</v>
      </c>
      <c r="B10" s="26" t="s">
        <v>93</v>
      </c>
      <c r="C10" s="13" t="s">
        <v>267</v>
      </c>
      <c r="D10" s="13" t="str">
        <f t="shared" si="0"/>
        <v>rokprognozy=2013 i lp=4</v>
      </c>
      <c r="E10" s="13" t="str">
        <f t="shared" si="1"/>
        <v>rokprognozy=2014 i lp=4</v>
      </c>
      <c r="F10" s="13" t="str">
        <f t="shared" si="1"/>
        <v>rokprognozy=2015 i lp=4</v>
      </c>
      <c r="G10" s="13" t="str">
        <f t="shared" si="1"/>
        <v>rokprognozy=2016 i lp=4</v>
      </c>
      <c r="H10" s="13" t="str">
        <f t="shared" si="1"/>
        <v>rokprognozy=2017 i lp=4</v>
      </c>
      <c r="I10" s="13" t="str">
        <f t="shared" si="1"/>
        <v>rokprognozy=2018 i lp=4</v>
      </c>
      <c r="J10" s="13" t="str">
        <f t="shared" si="1"/>
        <v>rokprognozy=2019 i lp=4</v>
      </c>
      <c r="K10" s="13" t="str">
        <f t="shared" si="1"/>
        <v>rokprognozy=2020 i lp=4</v>
      </c>
      <c r="L10" s="13" t="str">
        <f t="shared" si="1"/>
        <v>rokprognozy=2021 i lp=4</v>
      </c>
      <c r="M10" s="13" t="str">
        <f t="shared" si="1"/>
        <v>rokprognozy=2022 i lp=4</v>
      </c>
      <c r="N10" s="13" t="str">
        <f t="shared" si="1"/>
        <v>rokprognozy=2023 i lp=4</v>
      </c>
      <c r="O10" s="13" t="str">
        <f t="shared" si="1"/>
        <v>rokprognozy=2024 i lp=4</v>
      </c>
      <c r="P10" s="13" t="str">
        <f t="shared" si="1"/>
        <v>rokprognozy=2025 i lp=4</v>
      </c>
      <c r="Q10" s="13" t="str">
        <f t="shared" si="1"/>
        <v>rokprognozy=2026 i lp=4</v>
      </c>
      <c r="R10" s="13" t="str">
        <f t="shared" si="1"/>
        <v>rokprognozy=2027 i lp=4</v>
      </c>
      <c r="S10" s="13" t="str">
        <f t="shared" si="1"/>
        <v>rokprognozy=2028 i lp=4</v>
      </c>
      <c r="T10" s="13" t="str">
        <f t="shared" si="1"/>
        <v>rokprognozy=2029 i lp=4</v>
      </c>
      <c r="U10" s="13" t="str">
        <f t="shared" si="2"/>
        <v>rokprognozy=2030 i lp=4</v>
      </c>
      <c r="V10" s="13" t="str">
        <f t="shared" si="2"/>
        <v>rokprognozy=2031 i lp=4</v>
      </c>
      <c r="W10" s="13" t="str">
        <f t="shared" si="2"/>
        <v>rokprognozy=2032 i lp=4</v>
      </c>
      <c r="X10" s="13" t="str">
        <f t="shared" si="2"/>
        <v>rokprognozy=2033 i lp=4</v>
      </c>
      <c r="Y10" s="13" t="str">
        <f t="shared" si="2"/>
        <v>rokprognozy=2034 i lp=4</v>
      </c>
      <c r="Z10" s="13" t="str">
        <f t="shared" si="2"/>
        <v>rokprognozy=2035 i lp=4</v>
      </c>
      <c r="AA10" s="13" t="str">
        <f t="shared" si="2"/>
        <v>rokprognozy=2036 i lp=4</v>
      </c>
      <c r="AB10" s="13" t="str">
        <f t="shared" si="2"/>
        <v>rokprognozy=2037 i lp=4</v>
      </c>
      <c r="AC10" s="13" t="str">
        <f t="shared" si="2"/>
        <v>rokprognozy=2038 i lp=4</v>
      </c>
      <c r="AD10" s="13" t="str">
        <f t="shared" si="2"/>
        <v>rokprognozy=2039 i lp=4</v>
      </c>
      <c r="AE10" s="13" t="str">
        <f t="shared" si="2"/>
        <v>rokprognozy=2040 i lp=4</v>
      </c>
      <c r="AF10" s="13" t="str">
        <f t="shared" si="2"/>
        <v>rokprognozy=2041 i lp=4</v>
      </c>
      <c r="AG10" s="13" t="str">
        <f t="shared" si="2"/>
        <v>rokprognozy=2042 i lp=4</v>
      </c>
      <c r="AH10" s="13" t="str">
        <f t="shared" si="2"/>
        <v>rokprognozy=2043 i lp=4</v>
      </c>
    </row>
    <row r="11" spans="1:34" ht="14.25">
      <c r="A11" s="75">
        <v>5</v>
      </c>
      <c r="B11" s="26" t="s">
        <v>94</v>
      </c>
      <c r="C11" s="13" t="s">
        <v>268</v>
      </c>
      <c r="D11" s="13" t="str">
        <f t="shared" si="0"/>
        <v>rokprognozy=2013 i lp=5</v>
      </c>
      <c r="E11" s="13" t="str">
        <f t="shared" si="1"/>
        <v>rokprognozy=2014 i lp=5</v>
      </c>
      <c r="F11" s="13" t="str">
        <f t="shared" si="1"/>
        <v>rokprognozy=2015 i lp=5</v>
      </c>
      <c r="G11" s="13" t="str">
        <f t="shared" si="1"/>
        <v>rokprognozy=2016 i lp=5</v>
      </c>
      <c r="H11" s="13" t="str">
        <f t="shared" si="1"/>
        <v>rokprognozy=2017 i lp=5</v>
      </c>
      <c r="I11" s="13" t="str">
        <f t="shared" si="1"/>
        <v>rokprognozy=2018 i lp=5</v>
      </c>
      <c r="J11" s="13" t="str">
        <f t="shared" si="1"/>
        <v>rokprognozy=2019 i lp=5</v>
      </c>
      <c r="K11" s="13" t="str">
        <f t="shared" si="1"/>
        <v>rokprognozy=2020 i lp=5</v>
      </c>
      <c r="L11" s="13" t="str">
        <f t="shared" si="1"/>
        <v>rokprognozy=2021 i lp=5</v>
      </c>
      <c r="M11" s="13" t="str">
        <f t="shared" si="1"/>
        <v>rokprognozy=2022 i lp=5</v>
      </c>
      <c r="N11" s="13" t="str">
        <f t="shared" si="1"/>
        <v>rokprognozy=2023 i lp=5</v>
      </c>
      <c r="O11" s="13" t="str">
        <f t="shared" si="1"/>
        <v>rokprognozy=2024 i lp=5</v>
      </c>
      <c r="P11" s="13" t="str">
        <f t="shared" si="1"/>
        <v>rokprognozy=2025 i lp=5</v>
      </c>
      <c r="Q11" s="13" t="str">
        <f t="shared" si="1"/>
        <v>rokprognozy=2026 i lp=5</v>
      </c>
      <c r="R11" s="13" t="str">
        <f t="shared" si="1"/>
        <v>rokprognozy=2027 i lp=5</v>
      </c>
      <c r="S11" s="13" t="str">
        <f t="shared" si="1"/>
        <v>rokprognozy=2028 i lp=5</v>
      </c>
      <c r="T11" s="13" t="str">
        <f t="shared" si="1"/>
        <v>rokprognozy=2029 i lp=5</v>
      </c>
      <c r="U11" s="13" t="str">
        <f t="shared" si="2"/>
        <v>rokprognozy=2030 i lp=5</v>
      </c>
      <c r="V11" s="13" t="str">
        <f t="shared" si="2"/>
        <v>rokprognozy=2031 i lp=5</v>
      </c>
      <c r="W11" s="13" t="str">
        <f t="shared" si="2"/>
        <v>rokprognozy=2032 i lp=5</v>
      </c>
      <c r="X11" s="13" t="str">
        <f t="shared" si="2"/>
        <v>rokprognozy=2033 i lp=5</v>
      </c>
      <c r="Y11" s="13" t="str">
        <f t="shared" si="2"/>
        <v>rokprognozy=2034 i lp=5</v>
      </c>
      <c r="Z11" s="13" t="str">
        <f t="shared" si="2"/>
        <v>rokprognozy=2035 i lp=5</v>
      </c>
      <c r="AA11" s="13" t="str">
        <f t="shared" si="2"/>
        <v>rokprognozy=2036 i lp=5</v>
      </c>
      <c r="AB11" s="13" t="str">
        <f t="shared" si="2"/>
        <v>rokprognozy=2037 i lp=5</v>
      </c>
      <c r="AC11" s="13" t="str">
        <f t="shared" si="2"/>
        <v>rokprognozy=2038 i lp=5</v>
      </c>
      <c r="AD11" s="13" t="str">
        <f t="shared" si="2"/>
        <v>rokprognozy=2039 i lp=5</v>
      </c>
      <c r="AE11" s="13" t="str">
        <f t="shared" si="2"/>
        <v>rokprognozy=2040 i lp=5</v>
      </c>
      <c r="AF11" s="13" t="str">
        <f t="shared" si="2"/>
        <v>rokprognozy=2041 i lp=5</v>
      </c>
      <c r="AG11" s="13" t="str">
        <f t="shared" si="2"/>
        <v>rokprognozy=2042 i lp=5</v>
      </c>
      <c r="AH11" s="13" t="str">
        <f t="shared" si="2"/>
        <v>rokprognozy=2043 i lp=5</v>
      </c>
    </row>
    <row r="12" spans="1:34" ht="14.25">
      <c r="A12" s="75">
        <v>6</v>
      </c>
      <c r="B12" s="26" t="s">
        <v>95</v>
      </c>
      <c r="C12" s="13" t="s">
        <v>269</v>
      </c>
      <c r="D12" s="13" t="str">
        <f t="shared" si="0"/>
        <v>rokprognozy=2013 i lp=6</v>
      </c>
      <c r="E12" s="13" t="str">
        <f t="shared" si="1"/>
        <v>rokprognozy=2014 i lp=6</v>
      </c>
      <c r="F12" s="13" t="str">
        <f t="shared" si="1"/>
        <v>rokprognozy=2015 i lp=6</v>
      </c>
      <c r="G12" s="13" t="str">
        <f t="shared" si="1"/>
        <v>rokprognozy=2016 i lp=6</v>
      </c>
      <c r="H12" s="13" t="str">
        <f t="shared" si="1"/>
        <v>rokprognozy=2017 i lp=6</v>
      </c>
      <c r="I12" s="13" t="str">
        <f t="shared" si="1"/>
        <v>rokprognozy=2018 i lp=6</v>
      </c>
      <c r="J12" s="13" t="str">
        <f t="shared" si="1"/>
        <v>rokprognozy=2019 i lp=6</v>
      </c>
      <c r="K12" s="13" t="str">
        <f t="shared" si="1"/>
        <v>rokprognozy=2020 i lp=6</v>
      </c>
      <c r="L12" s="13" t="str">
        <f t="shared" si="1"/>
        <v>rokprognozy=2021 i lp=6</v>
      </c>
      <c r="M12" s="13" t="str">
        <f t="shared" si="1"/>
        <v>rokprognozy=2022 i lp=6</v>
      </c>
      <c r="N12" s="13" t="str">
        <f t="shared" si="1"/>
        <v>rokprognozy=2023 i lp=6</v>
      </c>
      <c r="O12" s="13" t="str">
        <f t="shared" si="1"/>
        <v>rokprognozy=2024 i lp=6</v>
      </c>
      <c r="P12" s="13" t="str">
        <f t="shared" si="1"/>
        <v>rokprognozy=2025 i lp=6</v>
      </c>
      <c r="Q12" s="13" t="str">
        <f t="shared" si="1"/>
        <v>rokprognozy=2026 i lp=6</v>
      </c>
      <c r="R12" s="13" t="str">
        <f t="shared" si="1"/>
        <v>rokprognozy=2027 i lp=6</v>
      </c>
      <c r="S12" s="13" t="str">
        <f t="shared" si="1"/>
        <v>rokprognozy=2028 i lp=6</v>
      </c>
      <c r="T12" s="13" t="str">
        <f t="shared" si="1"/>
        <v>rokprognozy=2029 i lp=6</v>
      </c>
      <c r="U12" s="13" t="str">
        <f t="shared" si="2"/>
        <v>rokprognozy=2030 i lp=6</v>
      </c>
      <c r="V12" s="13" t="str">
        <f t="shared" si="2"/>
        <v>rokprognozy=2031 i lp=6</v>
      </c>
      <c r="W12" s="13" t="str">
        <f t="shared" si="2"/>
        <v>rokprognozy=2032 i lp=6</v>
      </c>
      <c r="X12" s="13" t="str">
        <f t="shared" si="2"/>
        <v>rokprognozy=2033 i lp=6</v>
      </c>
      <c r="Y12" s="13" t="str">
        <f t="shared" si="2"/>
        <v>rokprognozy=2034 i lp=6</v>
      </c>
      <c r="Z12" s="13" t="str">
        <f t="shared" si="2"/>
        <v>rokprognozy=2035 i lp=6</v>
      </c>
      <c r="AA12" s="13" t="str">
        <f t="shared" si="2"/>
        <v>rokprognozy=2036 i lp=6</v>
      </c>
      <c r="AB12" s="13" t="str">
        <f t="shared" si="2"/>
        <v>rokprognozy=2037 i lp=6</v>
      </c>
      <c r="AC12" s="13" t="str">
        <f t="shared" si="2"/>
        <v>rokprognozy=2038 i lp=6</v>
      </c>
      <c r="AD12" s="13" t="str">
        <f t="shared" si="2"/>
        <v>rokprognozy=2039 i lp=6</v>
      </c>
      <c r="AE12" s="13" t="str">
        <f t="shared" si="2"/>
        <v>rokprognozy=2040 i lp=6</v>
      </c>
      <c r="AF12" s="13" t="str">
        <f t="shared" si="2"/>
        <v>rokprognozy=2041 i lp=6</v>
      </c>
      <c r="AG12" s="13" t="str">
        <f t="shared" si="2"/>
        <v>rokprognozy=2042 i lp=6</v>
      </c>
      <c r="AH12" s="13" t="str">
        <f t="shared" si="2"/>
        <v>rokprognozy=2043 i lp=6</v>
      </c>
    </row>
    <row r="13" spans="1:34" ht="14.25">
      <c r="A13" s="75">
        <v>7</v>
      </c>
      <c r="B13" s="26" t="s">
        <v>246</v>
      </c>
      <c r="C13" s="13" t="s">
        <v>247</v>
      </c>
      <c r="D13" s="13" t="str">
        <f t="shared" si="0"/>
        <v>rokprognozy=2013 i lp=7</v>
      </c>
      <c r="E13" s="13" t="str">
        <f t="shared" si="1"/>
        <v>rokprognozy=2014 i lp=7</v>
      </c>
      <c r="F13" s="13" t="str">
        <f t="shared" si="1"/>
        <v>rokprognozy=2015 i lp=7</v>
      </c>
      <c r="G13" s="13" t="str">
        <f t="shared" si="1"/>
        <v>rokprognozy=2016 i lp=7</v>
      </c>
      <c r="H13" s="13" t="str">
        <f t="shared" si="1"/>
        <v>rokprognozy=2017 i lp=7</v>
      </c>
      <c r="I13" s="13" t="str">
        <f t="shared" si="1"/>
        <v>rokprognozy=2018 i lp=7</v>
      </c>
      <c r="J13" s="13" t="str">
        <f t="shared" si="1"/>
        <v>rokprognozy=2019 i lp=7</v>
      </c>
      <c r="K13" s="13" t="str">
        <f t="shared" si="1"/>
        <v>rokprognozy=2020 i lp=7</v>
      </c>
      <c r="L13" s="13" t="str">
        <f t="shared" si="1"/>
        <v>rokprognozy=2021 i lp=7</v>
      </c>
      <c r="M13" s="13" t="str">
        <f t="shared" si="1"/>
        <v>rokprognozy=2022 i lp=7</v>
      </c>
      <c r="N13" s="13" t="str">
        <f t="shared" si="1"/>
        <v>rokprognozy=2023 i lp=7</v>
      </c>
      <c r="O13" s="13" t="str">
        <f t="shared" si="1"/>
        <v>rokprognozy=2024 i lp=7</v>
      </c>
      <c r="P13" s="13" t="str">
        <f t="shared" si="1"/>
        <v>rokprognozy=2025 i lp=7</v>
      </c>
      <c r="Q13" s="13" t="str">
        <f t="shared" si="1"/>
        <v>rokprognozy=2026 i lp=7</v>
      </c>
      <c r="R13" s="13" t="str">
        <f t="shared" si="1"/>
        <v>rokprognozy=2027 i lp=7</v>
      </c>
      <c r="S13" s="13" t="str">
        <f t="shared" si="1"/>
        <v>rokprognozy=2028 i lp=7</v>
      </c>
      <c r="T13" s="13" t="str">
        <f t="shared" si="1"/>
        <v>rokprognozy=2029 i lp=7</v>
      </c>
      <c r="U13" s="13" t="str">
        <f t="shared" si="2"/>
        <v>rokprognozy=2030 i lp=7</v>
      </c>
      <c r="V13" s="13" t="str">
        <f t="shared" si="2"/>
        <v>rokprognozy=2031 i lp=7</v>
      </c>
      <c r="W13" s="13" t="str">
        <f t="shared" si="2"/>
        <v>rokprognozy=2032 i lp=7</v>
      </c>
      <c r="X13" s="13" t="str">
        <f t="shared" si="2"/>
        <v>rokprognozy=2033 i lp=7</v>
      </c>
      <c r="Y13" s="13" t="str">
        <f t="shared" si="2"/>
        <v>rokprognozy=2034 i lp=7</v>
      </c>
      <c r="Z13" s="13" t="str">
        <f t="shared" si="2"/>
        <v>rokprognozy=2035 i lp=7</v>
      </c>
      <c r="AA13" s="13" t="str">
        <f t="shared" si="2"/>
        <v>rokprognozy=2036 i lp=7</v>
      </c>
      <c r="AB13" s="13" t="str">
        <f t="shared" si="2"/>
        <v>rokprognozy=2037 i lp=7</v>
      </c>
      <c r="AC13" s="13" t="str">
        <f t="shared" si="2"/>
        <v>rokprognozy=2038 i lp=7</v>
      </c>
      <c r="AD13" s="13" t="str">
        <f t="shared" si="2"/>
        <v>rokprognozy=2039 i lp=7</v>
      </c>
      <c r="AE13" s="13" t="str">
        <f t="shared" si="2"/>
        <v>rokprognozy=2040 i lp=7</v>
      </c>
      <c r="AF13" s="13" t="str">
        <f t="shared" si="2"/>
        <v>rokprognozy=2041 i lp=7</v>
      </c>
      <c r="AG13" s="13" t="str">
        <f t="shared" si="2"/>
        <v>rokprognozy=2042 i lp=7</v>
      </c>
      <c r="AH13" s="13" t="str">
        <f t="shared" si="2"/>
        <v>rokprognozy=2043 i lp=7</v>
      </c>
    </row>
    <row r="14" spans="1:34" ht="14.25">
      <c r="A14" s="75">
        <v>8</v>
      </c>
      <c r="B14" s="26" t="s">
        <v>96</v>
      </c>
      <c r="C14" s="13" t="s">
        <v>248</v>
      </c>
      <c r="D14" s="13" t="str">
        <f t="shared" si="0"/>
        <v>rokprognozy=2013 i lp=8</v>
      </c>
      <c r="E14" s="13" t="str">
        <f t="shared" si="1"/>
        <v>rokprognozy=2014 i lp=8</v>
      </c>
      <c r="F14" s="13" t="str">
        <f t="shared" si="1"/>
        <v>rokprognozy=2015 i lp=8</v>
      </c>
      <c r="G14" s="13" t="str">
        <f t="shared" si="1"/>
        <v>rokprognozy=2016 i lp=8</v>
      </c>
      <c r="H14" s="13" t="str">
        <f t="shared" si="1"/>
        <v>rokprognozy=2017 i lp=8</v>
      </c>
      <c r="I14" s="13" t="str">
        <f t="shared" si="1"/>
        <v>rokprognozy=2018 i lp=8</v>
      </c>
      <c r="J14" s="13" t="str">
        <f t="shared" si="1"/>
        <v>rokprognozy=2019 i lp=8</v>
      </c>
      <c r="K14" s="13" t="str">
        <f t="shared" si="1"/>
        <v>rokprognozy=2020 i lp=8</v>
      </c>
      <c r="L14" s="13" t="str">
        <f t="shared" si="1"/>
        <v>rokprognozy=2021 i lp=8</v>
      </c>
      <c r="M14" s="13" t="str">
        <f t="shared" si="1"/>
        <v>rokprognozy=2022 i lp=8</v>
      </c>
      <c r="N14" s="13" t="str">
        <f t="shared" si="1"/>
        <v>rokprognozy=2023 i lp=8</v>
      </c>
      <c r="O14" s="13" t="str">
        <f t="shared" si="1"/>
        <v>rokprognozy=2024 i lp=8</v>
      </c>
      <c r="P14" s="13" t="str">
        <f t="shared" si="1"/>
        <v>rokprognozy=2025 i lp=8</v>
      </c>
      <c r="Q14" s="13" t="str">
        <f t="shared" si="1"/>
        <v>rokprognozy=2026 i lp=8</v>
      </c>
      <c r="R14" s="13" t="str">
        <f t="shared" si="1"/>
        <v>rokprognozy=2027 i lp=8</v>
      </c>
      <c r="S14" s="13" t="str">
        <f t="shared" si="1"/>
        <v>rokprognozy=2028 i lp=8</v>
      </c>
      <c r="T14" s="13" t="str">
        <f t="shared" si="1"/>
        <v>rokprognozy=2029 i lp=8</v>
      </c>
      <c r="U14" s="13" t="str">
        <f t="shared" si="2"/>
        <v>rokprognozy=2030 i lp=8</v>
      </c>
      <c r="V14" s="13" t="str">
        <f t="shared" si="2"/>
        <v>rokprognozy=2031 i lp=8</v>
      </c>
      <c r="W14" s="13" t="str">
        <f t="shared" si="2"/>
        <v>rokprognozy=2032 i lp=8</v>
      </c>
      <c r="X14" s="13" t="str">
        <f t="shared" si="2"/>
        <v>rokprognozy=2033 i lp=8</v>
      </c>
      <c r="Y14" s="13" t="str">
        <f t="shared" si="2"/>
        <v>rokprognozy=2034 i lp=8</v>
      </c>
      <c r="Z14" s="13" t="str">
        <f t="shared" si="2"/>
        <v>rokprognozy=2035 i lp=8</v>
      </c>
      <c r="AA14" s="13" t="str">
        <f t="shared" si="2"/>
        <v>rokprognozy=2036 i lp=8</v>
      </c>
      <c r="AB14" s="13" t="str">
        <f t="shared" si="2"/>
        <v>rokprognozy=2037 i lp=8</v>
      </c>
      <c r="AC14" s="13" t="str">
        <f t="shared" si="2"/>
        <v>rokprognozy=2038 i lp=8</v>
      </c>
      <c r="AD14" s="13" t="str">
        <f t="shared" si="2"/>
        <v>rokprognozy=2039 i lp=8</v>
      </c>
      <c r="AE14" s="13" t="str">
        <f t="shared" si="2"/>
        <v>rokprognozy=2040 i lp=8</v>
      </c>
      <c r="AF14" s="13" t="str">
        <f t="shared" si="2"/>
        <v>rokprognozy=2041 i lp=8</v>
      </c>
      <c r="AG14" s="13" t="str">
        <f t="shared" si="2"/>
        <v>rokprognozy=2042 i lp=8</v>
      </c>
      <c r="AH14" s="13" t="str">
        <f t="shared" si="2"/>
        <v>rokprognozy=2043 i lp=8</v>
      </c>
    </row>
    <row r="15" spans="1:34" ht="14.25">
      <c r="A15" s="75">
        <v>9</v>
      </c>
      <c r="B15" s="233" t="s">
        <v>327</v>
      </c>
      <c r="C15" s="13" t="s">
        <v>3</v>
      </c>
      <c r="D15" s="13" t="str">
        <f t="shared" si="0"/>
        <v>rokprognozy=2013 i lp=9</v>
      </c>
      <c r="E15" s="13" t="str">
        <f t="shared" si="1"/>
        <v>rokprognozy=2014 i lp=9</v>
      </c>
      <c r="F15" s="13" t="str">
        <f t="shared" si="1"/>
        <v>rokprognozy=2015 i lp=9</v>
      </c>
      <c r="G15" s="13" t="str">
        <f t="shared" si="1"/>
        <v>rokprognozy=2016 i lp=9</v>
      </c>
      <c r="H15" s="13" t="str">
        <f t="shared" si="1"/>
        <v>rokprognozy=2017 i lp=9</v>
      </c>
      <c r="I15" s="13" t="str">
        <f t="shared" si="1"/>
        <v>rokprognozy=2018 i lp=9</v>
      </c>
      <c r="J15" s="13" t="str">
        <f t="shared" si="1"/>
        <v>rokprognozy=2019 i lp=9</v>
      </c>
      <c r="K15" s="13" t="str">
        <f t="shared" si="1"/>
        <v>rokprognozy=2020 i lp=9</v>
      </c>
      <c r="L15" s="13" t="str">
        <f t="shared" si="1"/>
        <v>rokprognozy=2021 i lp=9</v>
      </c>
      <c r="M15" s="13" t="str">
        <f t="shared" si="1"/>
        <v>rokprognozy=2022 i lp=9</v>
      </c>
      <c r="N15" s="13" t="str">
        <f t="shared" si="1"/>
        <v>rokprognozy=2023 i lp=9</v>
      </c>
      <c r="O15" s="13" t="str">
        <f t="shared" si="1"/>
        <v>rokprognozy=2024 i lp=9</v>
      </c>
      <c r="P15" s="13" t="str">
        <f t="shared" si="1"/>
        <v>rokprognozy=2025 i lp=9</v>
      </c>
      <c r="Q15" s="13" t="str">
        <f t="shared" si="1"/>
        <v>rokprognozy=2026 i lp=9</v>
      </c>
      <c r="R15" s="13" t="str">
        <f t="shared" si="1"/>
        <v>rokprognozy=2027 i lp=9</v>
      </c>
      <c r="S15" s="13" t="str">
        <f t="shared" si="1"/>
        <v>rokprognozy=2028 i lp=9</v>
      </c>
      <c r="T15" s="13" t="str">
        <f t="shared" si="1"/>
        <v>rokprognozy=2029 i lp=9</v>
      </c>
      <c r="U15" s="13" t="str">
        <f t="shared" si="2"/>
        <v>rokprognozy=2030 i lp=9</v>
      </c>
      <c r="V15" s="13" t="str">
        <f t="shared" si="2"/>
        <v>rokprognozy=2031 i lp=9</v>
      </c>
      <c r="W15" s="13" t="str">
        <f t="shared" si="2"/>
        <v>rokprognozy=2032 i lp=9</v>
      </c>
      <c r="X15" s="13" t="str">
        <f t="shared" si="2"/>
        <v>rokprognozy=2033 i lp=9</v>
      </c>
      <c r="Y15" s="13" t="str">
        <f t="shared" si="2"/>
        <v>rokprognozy=2034 i lp=9</v>
      </c>
      <c r="Z15" s="13" t="str">
        <f t="shared" si="2"/>
        <v>rokprognozy=2035 i lp=9</v>
      </c>
      <c r="AA15" s="13" t="str">
        <f t="shared" si="2"/>
        <v>rokprognozy=2036 i lp=9</v>
      </c>
      <c r="AB15" s="13" t="str">
        <f t="shared" si="2"/>
        <v>rokprognozy=2037 i lp=9</v>
      </c>
      <c r="AC15" s="13" t="str">
        <f t="shared" si="2"/>
        <v>rokprognozy=2038 i lp=9</v>
      </c>
      <c r="AD15" s="13" t="str">
        <f t="shared" si="2"/>
        <v>rokprognozy=2039 i lp=9</v>
      </c>
      <c r="AE15" s="13" t="str">
        <f t="shared" si="2"/>
        <v>rokprognozy=2040 i lp=9</v>
      </c>
      <c r="AF15" s="13" t="str">
        <f t="shared" si="2"/>
        <v>rokprognozy=2041 i lp=9</v>
      </c>
      <c r="AG15" s="13" t="str">
        <f t="shared" si="2"/>
        <v>rokprognozy=2042 i lp=9</v>
      </c>
      <c r="AH15" s="13" t="str">
        <f t="shared" si="2"/>
        <v>rokprognozy=2043 i lp=9</v>
      </c>
    </row>
    <row r="16" spans="1:34" ht="14.25">
      <c r="A16" s="75">
        <v>10</v>
      </c>
      <c r="B16" s="26" t="s">
        <v>97</v>
      </c>
      <c r="C16" s="13" t="s">
        <v>98</v>
      </c>
      <c r="D16" s="13" t="str">
        <f t="shared" si="0"/>
        <v>rokprognozy=2013 i lp=10</v>
      </c>
      <c r="E16" s="13" t="str">
        <f t="shared" si="1"/>
        <v>rokprognozy=2014 i lp=10</v>
      </c>
      <c r="F16" s="13" t="str">
        <f t="shared" si="1"/>
        <v>rokprognozy=2015 i lp=10</v>
      </c>
      <c r="G16" s="13" t="str">
        <f t="shared" si="1"/>
        <v>rokprognozy=2016 i lp=10</v>
      </c>
      <c r="H16" s="13" t="str">
        <f t="shared" si="1"/>
        <v>rokprognozy=2017 i lp=10</v>
      </c>
      <c r="I16" s="13" t="str">
        <f t="shared" si="1"/>
        <v>rokprognozy=2018 i lp=10</v>
      </c>
      <c r="J16" s="13" t="str">
        <f t="shared" si="1"/>
        <v>rokprognozy=2019 i lp=10</v>
      </c>
      <c r="K16" s="13" t="str">
        <f t="shared" si="1"/>
        <v>rokprognozy=2020 i lp=10</v>
      </c>
      <c r="L16" s="13" t="str">
        <f t="shared" si="1"/>
        <v>rokprognozy=2021 i lp=10</v>
      </c>
      <c r="M16" s="13" t="str">
        <f t="shared" si="1"/>
        <v>rokprognozy=2022 i lp=10</v>
      </c>
      <c r="N16" s="13" t="str">
        <f t="shared" si="1"/>
        <v>rokprognozy=2023 i lp=10</v>
      </c>
      <c r="O16" s="13" t="str">
        <f t="shared" si="1"/>
        <v>rokprognozy=2024 i lp=10</v>
      </c>
      <c r="P16" s="13" t="str">
        <f t="shared" si="1"/>
        <v>rokprognozy=2025 i lp=10</v>
      </c>
      <c r="Q16" s="13" t="str">
        <f t="shared" si="1"/>
        <v>rokprognozy=2026 i lp=10</v>
      </c>
      <c r="R16" s="13" t="str">
        <f t="shared" si="1"/>
        <v>rokprognozy=2027 i lp=10</v>
      </c>
      <c r="S16" s="13" t="str">
        <f t="shared" si="1"/>
        <v>rokprognozy=2028 i lp=10</v>
      </c>
      <c r="T16" s="13" t="str">
        <f t="shared" si="1"/>
        <v>rokprognozy=2029 i lp=10</v>
      </c>
      <c r="U16" s="13" t="str">
        <f t="shared" si="2"/>
        <v>rokprognozy=2030 i lp=10</v>
      </c>
      <c r="V16" s="13" t="str">
        <f t="shared" si="2"/>
        <v>rokprognozy=2031 i lp=10</v>
      </c>
      <c r="W16" s="13" t="str">
        <f t="shared" si="2"/>
        <v>rokprognozy=2032 i lp=10</v>
      </c>
      <c r="X16" s="13" t="str">
        <f t="shared" si="2"/>
        <v>rokprognozy=2033 i lp=10</v>
      </c>
      <c r="Y16" s="13" t="str">
        <f t="shared" si="2"/>
        <v>rokprognozy=2034 i lp=10</v>
      </c>
      <c r="Z16" s="13" t="str">
        <f t="shared" si="2"/>
        <v>rokprognozy=2035 i lp=10</v>
      </c>
      <c r="AA16" s="13" t="str">
        <f t="shared" si="2"/>
        <v>rokprognozy=2036 i lp=10</v>
      </c>
      <c r="AB16" s="13" t="str">
        <f t="shared" si="2"/>
        <v>rokprognozy=2037 i lp=10</v>
      </c>
      <c r="AC16" s="13" t="str">
        <f t="shared" si="2"/>
        <v>rokprognozy=2038 i lp=10</v>
      </c>
      <c r="AD16" s="13" t="str">
        <f t="shared" si="2"/>
        <v>rokprognozy=2039 i lp=10</v>
      </c>
      <c r="AE16" s="13" t="str">
        <f t="shared" si="2"/>
        <v>rokprognozy=2040 i lp=10</v>
      </c>
      <c r="AF16" s="13" t="str">
        <f t="shared" si="2"/>
        <v>rokprognozy=2041 i lp=10</v>
      </c>
      <c r="AG16" s="13" t="str">
        <f t="shared" si="2"/>
        <v>rokprognozy=2042 i lp=10</v>
      </c>
      <c r="AH16" s="13" t="str">
        <f t="shared" si="2"/>
        <v>rokprognozy=2043 i lp=10</v>
      </c>
    </row>
    <row r="17" spans="1:34" ht="14.25">
      <c r="A17" s="75">
        <v>11</v>
      </c>
      <c r="B17" s="26" t="s">
        <v>99</v>
      </c>
      <c r="C17" s="13" t="s">
        <v>100</v>
      </c>
      <c r="D17" s="13" t="str">
        <f t="shared" si="0"/>
        <v>rokprognozy=2013 i lp=11</v>
      </c>
      <c r="E17" s="13" t="str">
        <f t="shared" si="1"/>
        <v>rokprognozy=2014 i lp=11</v>
      </c>
      <c r="F17" s="13" t="str">
        <f t="shared" si="1"/>
        <v>rokprognozy=2015 i lp=11</v>
      </c>
      <c r="G17" s="13" t="str">
        <f t="shared" si="1"/>
        <v>rokprognozy=2016 i lp=11</v>
      </c>
      <c r="H17" s="13" t="str">
        <f t="shared" si="1"/>
        <v>rokprognozy=2017 i lp=11</v>
      </c>
      <c r="I17" s="13" t="str">
        <f t="shared" si="1"/>
        <v>rokprognozy=2018 i lp=11</v>
      </c>
      <c r="J17" s="13" t="str">
        <f t="shared" si="1"/>
        <v>rokprognozy=2019 i lp=11</v>
      </c>
      <c r="K17" s="13" t="str">
        <f t="shared" si="1"/>
        <v>rokprognozy=2020 i lp=11</v>
      </c>
      <c r="L17" s="13" t="str">
        <f t="shared" si="1"/>
        <v>rokprognozy=2021 i lp=11</v>
      </c>
      <c r="M17" s="13" t="str">
        <f t="shared" si="1"/>
        <v>rokprognozy=2022 i lp=11</v>
      </c>
      <c r="N17" s="13" t="str">
        <f t="shared" si="1"/>
        <v>rokprognozy=2023 i lp=11</v>
      </c>
      <c r="O17" s="13" t="str">
        <f t="shared" si="1"/>
        <v>rokprognozy=2024 i lp=11</v>
      </c>
      <c r="P17" s="13" t="str">
        <f t="shared" si="1"/>
        <v>rokprognozy=2025 i lp=11</v>
      </c>
      <c r="Q17" s="13" t="str">
        <f t="shared" si="1"/>
        <v>rokprognozy=2026 i lp=11</v>
      </c>
      <c r="R17" s="13" t="str">
        <f t="shared" si="1"/>
        <v>rokprognozy=2027 i lp=11</v>
      </c>
      <c r="S17" s="13" t="str">
        <f t="shared" si="1"/>
        <v>rokprognozy=2028 i lp=11</v>
      </c>
      <c r="T17" s="13" t="str">
        <f t="shared" si="1"/>
        <v>rokprognozy=2029 i lp=11</v>
      </c>
      <c r="U17" s="13" t="str">
        <f t="shared" si="2"/>
        <v>rokprognozy=2030 i lp=11</v>
      </c>
      <c r="V17" s="13" t="str">
        <f t="shared" si="2"/>
        <v>rokprognozy=2031 i lp=11</v>
      </c>
      <c r="W17" s="13" t="str">
        <f t="shared" si="2"/>
        <v>rokprognozy=2032 i lp=11</v>
      </c>
      <c r="X17" s="13" t="str">
        <f t="shared" si="2"/>
        <v>rokprognozy=2033 i lp=11</v>
      </c>
      <c r="Y17" s="13" t="str">
        <f t="shared" si="2"/>
        <v>rokprognozy=2034 i lp=11</v>
      </c>
      <c r="Z17" s="13" t="str">
        <f t="shared" si="2"/>
        <v>rokprognozy=2035 i lp=11</v>
      </c>
      <c r="AA17" s="13" t="str">
        <f t="shared" si="2"/>
        <v>rokprognozy=2036 i lp=11</v>
      </c>
      <c r="AB17" s="13" t="str">
        <f t="shared" si="2"/>
        <v>rokprognozy=2037 i lp=11</v>
      </c>
      <c r="AC17" s="13" t="str">
        <f t="shared" si="2"/>
        <v>rokprognozy=2038 i lp=11</v>
      </c>
      <c r="AD17" s="13" t="str">
        <f t="shared" si="2"/>
        <v>rokprognozy=2039 i lp=11</v>
      </c>
      <c r="AE17" s="13" t="str">
        <f t="shared" si="2"/>
        <v>rokprognozy=2040 i lp=11</v>
      </c>
      <c r="AF17" s="13" t="str">
        <f t="shared" si="2"/>
        <v>rokprognozy=2041 i lp=11</v>
      </c>
      <c r="AG17" s="13" t="str">
        <f t="shared" si="2"/>
        <v>rokprognozy=2042 i lp=11</v>
      </c>
      <c r="AH17" s="13" t="str">
        <f t="shared" si="2"/>
        <v>rokprognozy=2043 i lp=11</v>
      </c>
    </row>
    <row r="18" spans="1:34" ht="14.25">
      <c r="A18" s="75">
        <v>12</v>
      </c>
      <c r="B18" s="26" t="s">
        <v>101</v>
      </c>
      <c r="C18" s="13" t="s">
        <v>102</v>
      </c>
      <c r="D18" s="13" t="str">
        <f t="shared" si="0"/>
        <v>rokprognozy=2013 i lp=12</v>
      </c>
      <c r="E18" s="13" t="str">
        <f t="shared" si="1"/>
        <v>rokprognozy=2014 i lp=12</v>
      </c>
      <c r="F18" s="13" t="str">
        <f t="shared" si="1"/>
        <v>rokprognozy=2015 i lp=12</v>
      </c>
      <c r="G18" s="13" t="str">
        <f t="shared" si="1"/>
        <v>rokprognozy=2016 i lp=12</v>
      </c>
      <c r="H18" s="13" t="str">
        <f t="shared" si="1"/>
        <v>rokprognozy=2017 i lp=12</v>
      </c>
      <c r="I18" s="13" t="str">
        <f t="shared" si="1"/>
        <v>rokprognozy=2018 i lp=12</v>
      </c>
      <c r="J18" s="13" t="str">
        <f t="shared" si="1"/>
        <v>rokprognozy=2019 i lp=12</v>
      </c>
      <c r="K18" s="13" t="str">
        <f t="shared" si="1"/>
        <v>rokprognozy=2020 i lp=12</v>
      </c>
      <c r="L18" s="13" t="str">
        <f t="shared" si="1"/>
        <v>rokprognozy=2021 i lp=12</v>
      </c>
      <c r="M18" s="13" t="str">
        <f t="shared" si="1"/>
        <v>rokprognozy=2022 i lp=12</v>
      </c>
      <c r="N18" s="13" t="str">
        <f t="shared" si="1"/>
        <v>rokprognozy=2023 i lp=12</v>
      </c>
      <c r="O18" s="13" t="str">
        <f t="shared" si="1"/>
        <v>rokprognozy=2024 i lp=12</v>
      </c>
      <c r="P18" s="13" t="str">
        <f t="shared" si="1"/>
        <v>rokprognozy=2025 i lp=12</v>
      </c>
      <c r="Q18" s="13" t="str">
        <f t="shared" si="1"/>
        <v>rokprognozy=2026 i lp=12</v>
      </c>
      <c r="R18" s="13" t="str">
        <f t="shared" si="1"/>
        <v>rokprognozy=2027 i lp=12</v>
      </c>
      <c r="S18" s="13" t="str">
        <f t="shared" si="1"/>
        <v>rokprognozy=2028 i lp=12</v>
      </c>
      <c r="T18" s="13" t="str">
        <f t="shared" si="1"/>
        <v>rokprognozy=2029 i lp=12</v>
      </c>
      <c r="U18" s="13" t="str">
        <f t="shared" si="2"/>
        <v>rokprognozy=2030 i lp=12</v>
      </c>
      <c r="V18" s="13" t="str">
        <f t="shared" si="2"/>
        <v>rokprognozy=2031 i lp=12</v>
      </c>
      <c r="W18" s="13" t="str">
        <f t="shared" si="2"/>
        <v>rokprognozy=2032 i lp=12</v>
      </c>
      <c r="X18" s="13" t="str">
        <f t="shared" si="2"/>
        <v>rokprognozy=2033 i lp=12</v>
      </c>
      <c r="Y18" s="13" t="str">
        <f t="shared" si="2"/>
        <v>rokprognozy=2034 i lp=12</v>
      </c>
      <c r="Z18" s="13" t="str">
        <f t="shared" si="2"/>
        <v>rokprognozy=2035 i lp=12</v>
      </c>
      <c r="AA18" s="13" t="str">
        <f t="shared" si="2"/>
        <v>rokprognozy=2036 i lp=12</v>
      </c>
      <c r="AB18" s="13" t="str">
        <f t="shared" si="2"/>
        <v>rokprognozy=2037 i lp=12</v>
      </c>
      <c r="AC18" s="13" t="str">
        <f t="shared" si="2"/>
        <v>rokprognozy=2038 i lp=12</v>
      </c>
      <c r="AD18" s="13" t="str">
        <f t="shared" si="2"/>
        <v>rokprognozy=2039 i lp=12</v>
      </c>
      <c r="AE18" s="13" t="str">
        <f t="shared" si="2"/>
        <v>rokprognozy=2040 i lp=12</v>
      </c>
      <c r="AF18" s="13" t="str">
        <f t="shared" si="2"/>
        <v>rokprognozy=2041 i lp=12</v>
      </c>
      <c r="AG18" s="13" t="str">
        <f t="shared" si="2"/>
        <v>rokprognozy=2042 i lp=12</v>
      </c>
      <c r="AH18" s="13" t="str">
        <f t="shared" si="2"/>
        <v>rokprognozy=2043 i lp=12</v>
      </c>
    </row>
    <row r="19" spans="1:34" ht="14.25">
      <c r="A19" s="75">
        <v>13</v>
      </c>
      <c r="B19" s="26" t="s">
        <v>103</v>
      </c>
      <c r="C19" s="13" t="s">
        <v>270</v>
      </c>
      <c r="D19" s="13" t="str">
        <f t="shared" si="0"/>
        <v>rokprognozy=2013 i lp=13</v>
      </c>
      <c r="E19" s="13" t="str">
        <f t="shared" si="1"/>
        <v>rokprognozy=2014 i lp=13</v>
      </c>
      <c r="F19" s="13" t="str">
        <f t="shared" si="1"/>
        <v>rokprognozy=2015 i lp=13</v>
      </c>
      <c r="G19" s="13" t="str">
        <f t="shared" si="1"/>
        <v>rokprognozy=2016 i lp=13</v>
      </c>
      <c r="H19" s="13" t="str">
        <f t="shared" si="1"/>
        <v>rokprognozy=2017 i lp=13</v>
      </c>
      <c r="I19" s="13" t="str">
        <f t="shared" si="1"/>
        <v>rokprognozy=2018 i lp=13</v>
      </c>
      <c r="J19" s="13" t="str">
        <f t="shared" si="1"/>
        <v>rokprognozy=2019 i lp=13</v>
      </c>
      <c r="K19" s="13" t="str">
        <f t="shared" si="1"/>
        <v>rokprognozy=2020 i lp=13</v>
      </c>
      <c r="L19" s="13" t="str">
        <f t="shared" si="1"/>
        <v>rokprognozy=2021 i lp=13</v>
      </c>
      <c r="M19" s="13" t="str">
        <f t="shared" si="1"/>
        <v>rokprognozy=2022 i lp=13</v>
      </c>
      <c r="N19" s="13" t="str">
        <f t="shared" si="1"/>
        <v>rokprognozy=2023 i lp=13</v>
      </c>
      <c r="O19" s="13" t="str">
        <f t="shared" si="1"/>
        <v>rokprognozy=2024 i lp=13</v>
      </c>
      <c r="P19" s="13" t="str">
        <f t="shared" si="1"/>
        <v>rokprognozy=2025 i lp=13</v>
      </c>
      <c r="Q19" s="13" t="str">
        <f t="shared" si="1"/>
        <v>rokprognozy=2026 i lp=13</v>
      </c>
      <c r="R19" s="13" t="str">
        <f t="shared" si="1"/>
        <v>rokprognozy=2027 i lp=13</v>
      </c>
      <c r="S19" s="13" t="str">
        <f t="shared" si="1"/>
        <v>rokprognozy=2028 i lp=13</v>
      </c>
      <c r="T19" s="13" t="str">
        <f t="shared" si="1"/>
        <v>rokprognozy=2029 i lp=13</v>
      </c>
      <c r="U19" s="13" t="str">
        <f t="shared" si="2"/>
        <v>rokprognozy=2030 i lp=13</v>
      </c>
      <c r="V19" s="13" t="str">
        <f t="shared" si="2"/>
        <v>rokprognozy=2031 i lp=13</v>
      </c>
      <c r="W19" s="13" t="str">
        <f t="shared" si="2"/>
        <v>rokprognozy=2032 i lp=13</v>
      </c>
      <c r="X19" s="13" t="str">
        <f t="shared" si="2"/>
        <v>rokprognozy=2033 i lp=13</v>
      </c>
      <c r="Y19" s="13" t="str">
        <f t="shared" si="2"/>
        <v>rokprognozy=2034 i lp=13</v>
      </c>
      <c r="Z19" s="13" t="str">
        <f t="shared" si="2"/>
        <v>rokprognozy=2035 i lp=13</v>
      </c>
      <c r="AA19" s="13" t="str">
        <f t="shared" si="2"/>
        <v>rokprognozy=2036 i lp=13</v>
      </c>
      <c r="AB19" s="13" t="str">
        <f t="shared" si="2"/>
        <v>rokprognozy=2037 i lp=13</v>
      </c>
      <c r="AC19" s="13" t="str">
        <f t="shared" si="2"/>
        <v>rokprognozy=2038 i lp=13</v>
      </c>
      <c r="AD19" s="13" t="str">
        <f t="shared" si="2"/>
        <v>rokprognozy=2039 i lp=13</v>
      </c>
      <c r="AE19" s="13" t="str">
        <f t="shared" si="2"/>
        <v>rokprognozy=2040 i lp=13</v>
      </c>
      <c r="AF19" s="13" t="str">
        <f t="shared" si="2"/>
        <v>rokprognozy=2041 i lp=13</v>
      </c>
      <c r="AG19" s="13" t="str">
        <f t="shared" si="2"/>
        <v>rokprognozy=2042 i lp=13</v>
      </c>
      <c r="AH19" s="13" t="str">
        <f t="shared" si="2"/>
        <v>rokprognozy=2043 i lp=13</v>
      </c>
    </row>
    <row r="20" spans="1:34" ht="14.25">
      <c r="A20" s="75">
        <v>14</v>
      </c>
      <c r="B20" s="26" t="s">
        <v>250</v>
      </c>
      <c r="C20" s="13" t="s">
        <v>249</v>
      </c>
      <c r="D20" s="13" t="str">
        <f t="shared" si="0"/>
        <v>rokprognozy=2013 i lp=14</v>
      </c>
      <c r="E20" s="13" t="str">
        <f t="shared" si="1"/>
        <v>rokprognozy=2014 i lp=14</v>
      </c>
      <c r="F20" s="13" t="str">
        <f t="shared" si="1"/>
        <v>rokprognozy=2015 i lp=14</v>
      </c>
      <c r="G20" s="13" t="str">
        <f t="shared" si="1"/>
        <v>rokprognozy=2016 i lp=14</v>
      </c>
      <c r="H20" s="13" t="str">
        <f t="shared" si="1"/>
        <v>rokprognozy=2017 i lp=14</v>
      </c>
      <c r="I20" s="13" t="str">
        <f t="shared" si="1"/>
        <v>rokprognozy=2018 i lp=14</v>
      </c>
      <c r="J20" s="13" t="str">
        <f t="shared" si="1"/>
        <v>rokprognozy=2019 i lp=14</v>
      </c>
      <c r="K20" s="13" t="str">
        <f t="shared" si="1"/>
        <v>rokprognozy=2020 i lp=14</v>
      </c>
      <c r="L20" s="13" t="str">
        <f t="shared" si="1"/>
        <v>rokprognozy=2021 i lp=14</v>
      </c>
      <c r="M20" s="13" t="str">
        <f t="shared" si="1"/>
        <v>rokprognozy=2022 i lp=14</v>
      </c>
      <c r="N20" s="13" t="str">
        <f t="shared" si="1"/>
        <v>rokprognozy=2023 i lp=14</v>
      </c>
      <c r="O20" s="13" t="str">
        <f t="shared" si="1"/>
        <v>rokprognozy=2024 i lp=14</v>
      </c>
      <c r="P20" s="13" t="str">
        <f t="shared" si="1"/>
        <v>rokprognozy=2025 i lp=14</v>
      </c>
      <c r="Q20" s="13" t="str">
        <f t="shared" si="1"/>
        <v>rokprognozy=2026 i lp=14</v>
      </c>
      <c r="R20" s="13" t="str">
        <f t="shared" si="1"/>
        <v>rokprognozy=2027 i lp=14</v>
      </c>
      <c r="S20" s="13" t="str">
        <f t="shared" si="1"/>
        <v>rokprognozy=2028 i lp=14</v>
      </c>
      <c r="T20" s="13" t="str">
        <f t="shared" si="1"/>
        <v>rokprognozy=2029 i lp=14</v>
      </c>
      <c r="U20" s="13" t="str">
        <f t="shared" si="2"/>
        <v>rokprognozy=2030 i lp=14</v>
      </c>
      <c r="V20" s="13" t="str">
        <f t="shared" si="2"/>
        <v>rokprognozy=2031 i lp=14</v>
      </c>
      <c r="W20" s="13" t="str">
        <f t="shared" si="2"/>
        <v>rokprognozy=2032 i lp=14</v>
      </c>
      <c r="X20" s="13" t="str">
        <f t="shared" si="2"/>
        <v>rokprognozy=2033 i lp=14</v>
      </c>
      <c r="Y20" s="13" t="str">
        <f t="shared" si="2"/>
        <v>rokprognozy=2034 i lp=14</v>
      </c>
      <c r="Z20" s="13" t="str">
        <f t="shared" si="2"/>
        <v>rokprognozy=2035 i lp=14</v>
      </c>
      <c r="AA20" s="13" t="str">
        <f t="shared" si="2"/>
        <v>rokprognozy=2036 i lp=14</v>
      </c>
      <c r="AB20" s="13" t="str">
        <f t="shared" si="2"/>
        <v>rokprognozy=2037 i lp=14</v>
      </c>
      <c r="AC20" s="13" t="str">
        <f t="shared" si="2"/>
        <v>rokprognozy=2038 i lp=14</v>
      </c>
      <c r="AD20" s="13" t="str">
        <f t="shared" si="2"/>
        <v>rokprognozy=2039 i lp=14</v>
      </c>
      <c r="AE20" s="13" t="str">
        <f t="shared" si="2"/>
        <v>rokprognozy=2040 i lp=14</v>
      </c>
      <c r="AF20" s="13" t="str">
        <f t="shared" si="2"/>
        <v>rokprognozy=2041 i lp=14</v>
      </c>
      <c r="AG20" s="13" t="str">
        <f t="shared" si="2"/>
        <v>rokprognozy=2042 i lp=14</v>
      </c>
      <c r="AH20" s="13" t="str">
        <f t="shared" si="2"/>
        <v>rokprognozy=2043 i lp=14</v>
      </c>
    </row>
    <row r="21" spans="1:34" ht="14.25">
      <c r="A21" s="75">
        <v>15</v>
      </c>
      <c r="B21" s="26" t="s">
        <v>104</v>
      </c>
      <c r="C21" s="13" t="s">
        <v>105</v>
      </c>
      <c r="D21" s="13" t="str">
        <f t="shared" si="0"/>
        <v>rokprognozy=2013 i lp=15</v>
      </c>
      <c r="E21" s="13" t="str">
        <f t="shared" si="1"/>
        <v>rokprognozy=2014 i lp=15</v>
      </c>
      <c r="F21" s="13" t="str">
        <f t="shared" si="1"/>
        <v>rokprognozy=2015 i lp=15</v>
      </c>
      <c r="G21" s="13" t="str">
        <f t="shared" si="1"/>
        <v>rokprognozy=2016 i lp=15</v>
      </c>
      <c r="H21" s="13" t="str">
        <f t="shared" si="1"/>
        <v>rokprognozy=2017 i lp=15</v>
      </c>
      <c r="I21" s="13" t="str">
        <f t="shared" si="1"/>
        <v>rokprognozy=2018 i lp=15</v>
      </c>
      <c r="J21" s="13" t="str">
        <f t="shared" si="1"/>
        <v>rokprognozy=2019 i lp=15</v>
      </c>
      <c r="K21" s="13" t="str">
        <f t="shared" si="1"/>
        <v>rokprognozy=2020 i lp=15</v>
      </c>
      <c r="L21" s="13" t="str">
        <f t="shared" si="1"/>
        <v>rokprognozy=2021 i lp=15</v>
      </c>
      <c r="M21" s="13" t="str">
        <f t="shared" si="1"/>
        <v>rokprognozy=2022 i lp=15</v>
      </c>
      <c r="N21" s="13" t="str">
        <f t="shared" si="1"/>
        <v>rokprognozy=2023 i lp=15</v>
      </c>
      <c r="O21" s="13" t="str">
        <f t="shared" si="1"/>
        <v>rokprognozy=2024 i lp=15</v>
      </c>
      <c r="P21" s="13" t="str">
        <f t="shared" si="1"/>
        <v>rokprognozy=2025 i lp=15</v>
      </c>
      <c r="Q21" s="13" t="str">
        <f t="shared" si="1"/>
        <v>rokprognozy=2026 i lp=15</v>
      </c>
      <c r="R21" s="13" t="str">
        <f t="shared" si="1"/>
        <v>rokprognozy=2027 i lp=15</v>
      </c>
      <c r="S21" s="13" t="str">
        <f t="shared" si="1"/>
        <v>rokprognozy=2028 i lp=15</v>
      </c>
      <c r="T21" s="13" t="str">
        <f t="shared" si="1"/>
        <v>rokprognozy=2029 i lp=15</v>
      </c>
      <c r="U21" s="13" t="str">
        <f t="shared" si="2"/>
        <v>rokprognozy=2030 i lp=15</v>
      </c>
      <c r="V21" s="13" t="str">
        <f t="shared" si="2"/>
        <v>rokprognozy=2031 i lp=15</v>
      </c>
      <c r="W21" s="13" t="str">
        <f t="shared" si="2"/>
        <v>rokprognozy=2032 i lp=15</v>
      </c>
      <c r="X21" s="13" t="str">
        <f t="shared" si="2"/>
        <v>rokprognozy=2033 i lp=15</v>
      </c>
      <c r="Y21" s="13" t="str">
        <f t="shared" si="2"/>
        <v>rokprognozy=2034 i lp=15</v>
      </c>
      <c r="Z21" s="13" t="str">
        <f t="shared" si="2"/>
        <v>rokprognozy=2035 i lp=15</v>
      </c>
      <c r="AA21" s="13" t="str">
        <f t="shared" si="2"/>
        <v>rokprognozy=2036 i lp=15</v>
      </c>
      <c r="AB21" s="13" t="str">
        <f t="shared" si="2"/>
        <v>rokprognozy=2037 i lp=15</v>
      </c>
      <c r="AC21" s="13" t="str">
        <f t="shared" si="2"/>
        <v>rokprognozy=2038 i lp=15</v>
      </c>
      <c r="AD21" s="13" t="str">
        <f t="shared" si="2"/>
        <v>rokprognozy=2039 i lp=15</v>
      </c>
      <c r="AE21" s="13" t="str">
        <f t="shared" si="2"/>
        <v>rokprognozy=2040 i lp=15</v>
      </c>
      <c r="AF21" s="13" t="str">
        <f t="shared" si="2"/>
        <v>rokprognozy=2041 i lp=15</v>
      </c>
      <c r="AG21" s="13" t="str">
        <f t="shared" si="2"/>
        <v>rokprognozy=2042 i lp=15</v>
      </c>
      <c r="AH21" s="13" t="str">
        <f t="shared" si="2"/>
        <v>rokprognozy=2043 i lp=15</v>
      </c>
    </row>
    <row r="22" spans="1:34" ht="14.25">
      <c r="A22" s="75">
        <v>150</v>
      </c>
      <c r="B22" s="26" t="s">
        <v>106</v>
      </c>
      <c r="C22" s="13" t="s">
        <v>271</v>
      </c>
      <c r="D22" s="13" t="str">
        <f t="shared" si="0"/>
        <v>rokprognozy=2013 i lp=150</v>
      </c>
      <c r="E22" s="13" t="str">
        <f t="shared" si="1"/>
        <v>rokprognozy=2014 i lp=150</v>
      </c>
      <c r="F22" s="13" t="str">
        <f t="shared" si="1"/>
        <v>rokprognozy=2015 i lp=150</v>
      </c>
      <c r="G22" s="13" t="str">
        <f t="shared" si="1"/>
        <v>rokprognozy=2016 i lp=150</v>
      </c>
      <c r="H22" s="13" t="str">
        <f t="shared" si="1"/>
        <v>rokprognozy=2017 i lp=150</v>
      </c>
      <c r="I22" s="13" t="str">
        <f t="shared" si="1"/>
        <v>rokprognozy=2018 i lp=150</v>
      </c>
      <c r="J22" s="13" t="str">
        <f t="shared" si="1"/>
        <v>rokprognozy=2019 i lp=150</v>
      </c>
      <c r="K22" s="13" t="str">
        <f t="shared" si="1"/>
        <v>rokprognozy=2020 i lp=150</v>
      </c>
      <c r="L22" s="13" t="str">
        <f t="shared" si="1"/>
        <v>rokprognozy=2021 i lp=150</v>
      </c>
      <c r="M22" s="13" t="str">
        <f t="shared" si="1"/>
        <v>rokprognozy=2022 i lp=150</v>
      </c>
      <c r="N22" s="13" t="str">
        <f t="shared" si="1"/>
        <v>rokprognozy=2023 i lp=150</v>
      </c>
      <c r="O22" s="13" t="str">
        <f t="shared" si="1"/>
        <v>rokprognozy=2024 i lp=150</v>
      </c>
      <c r="P22" s="13" t="str">
        <f t="shared" si="1"/>
        <v>rokprognozy=2025 i lp=150</v>
      </c>
      <c r="Q22" s="13" t="str">
        <f t="shared" si="1"/>
        <v>rokprognozy=2026 i lp=150</v>
      </c>
      <c r="R22" s="13" t="str">
        <f t="shared" si="1"/>
        <v>rokprognozy=2027 i lp=150</v>
      </c>
      <c r="S22" s="13" t="str">
        <f t="shared" si="1"/>
        <v>rokprognozy=2028 i lp=150</v>
      </c>
      <c r="T22" s="13" t="str">
        <f aca="true" t="shared" si="3" ref="T22:AH37">+"rokprognozy="&amp;T$6&amp;" i lp="&amp;$A22</f>
        <v>rokprognozy=2029 i lp=150</v>
      </c>
      <c r="U22" s="13" t="str">
        <f t="shared" si="2"/>
        <v>rokprognozy=2030 i lp=150</v>
      </c>
      <c r="V22" s="13" t="str">
        <f t="shared" si="2"/>
        <v>rokprognozy=2031 i lp=150</v>
      </c>
      <c r="W22" s="13" t="str">
        <f t="shared" si="2"/>
        <v>rokprognozy=2032 i lp=150</v>
      </c>
      <c r="X22" s="13" t="str">
        <f t="shared" si="2"/>
        <v>rokprognozy=2033 i lp=150</v>
      </c>
      <c r="Y22" s="13" t="str">
        <f t="shared" si="2"/>
        <v>rokprognozy=2034 i lp=150</v>
      </c>
      <c r="Z22" s="13" t="str">
        <f t="shared" si="2"/>
        <v>rokprognozy=2035 i lp=150</v>
      </c>
      <c r="AA22" s="13" t="str">
        <f t="shared" si="2"/>
        <v>rokprognozy=2036 i lp=150</v>
      </c>
      <c r="AB22" s="13" t="str">
        <f t="shared" si="2"/>
        <v>rokprognozy=2037 i lp=150</v>
      </c>
      <c r="AC22" s="13" t="str">
        <f t="shared" si="2"/>
        <v>rokprognozy=2038 i lp=150</v>
      </c>
      <c r="AD22" s="13" t="str">
        <f t="shared" si="2"/>
        <v>rokprognozy=2039 i lp=150</v>
      </c>
      <c r="AE22" s="13" t="str">
        <f t="shared" si="2"/>
        <v>rokprognozy=2040 i lp=150</v>
      </c>
      <c r="AF22" s="13" t="str">
        <f t="shared" si="2"/>
        <v>rokprognozy=2041 i lp=150</v>
      </c>
      <c r="AG22" s="13" t="str">
        <f t="shared" si="2"/>
        <v>rokprognozy=2042 i lp=150</v>
      </c>
      <c r="AH22" s="13" t="str">
        <f t="shared" si="2"/>
        <v>rokprognozy=2043 i lp=150</v>
      </c>
    </row>
    <row r="23" spans="1:34" ht="14.25">
      <c r="A23" s="75">
        <v>151</v>
      </c>
      <c r="B23" s="26" t="s">
        <v>252</v>
      </c>
      <c r="C23" s="13" t="s">
        <v>251</v>
      </c>
      <c r="D23" s="13" t="str">
        <f t="shared" si="0"/>
        <v>rokprognozy=2013 i lp=151</v>
      </c>
      <c r="E23" s="13" t="str">
        <f aca="true" t="shared" si="4" ref="E23:S23">+"rokprognozy="&amp;E$6&amp;" i lp="&amp;$A23</f>
        <v>rokprognozy=2014 i lp=151</v>
      </c>
      <c r="F23" s="13" t="str">
        <f t="shared" si="4"/>
        <v>rokprognozy=2015 i lp=151</v>
      </c>
      <c r="G23" s="13" t="str">
        <f t="shared" si="4"/>
        <v>rokprognozy=2016 i lp=151</v>
      </c>
      <c r="H23" s="13" t="str">
        <f t="shared" si="4"/>
        <v>rokprognozy=2017 i lp=151</v>
      </c>
      <c r="I23" s="13" t="str">
        <f t="shared" si="4"/>
        <v>rokprognozy=2018 i lp=151</v>
      </c>
      <c r="J23" s="13" t="str">
        <f t="shared" si="4"/>
        <v>rokprognozy=2019 i lp=151</v>
      </c>
      <c r="K23" s="13" t="str">
        <f t="shared" si="4"/>
        <v>rokprognozy=2020 i lp=151</v>
      </c>
      <c r="L23" s="13" t="str">
        <f t="shared" si="4"/>
        <v>rokprognozy=2021 i lp=151</v>
      </c>
      <c r="M23" s="13" t="str">
        <f t="shared" si="4"/>
        <v>rokprognozy=2022 i lp=151</v>
      </c>
      <c r="N23" s="13" t="str">
        <f t="shared" si="4"/>
        <v>rokprognozy=2023 i lp=151</v>
      </c>
      <c r="O23" s="13" t="str">
        <f t="shared" si="4"/>
        <v>rokprognozy=2024 i lp=151</v>
      </c>
      <c r="P23" s="13" t="str">
        <f t="shared" si="4"/>
        <v>rokprognozy=2025 i lp=151</v>
      </c>
      <c r="Q23" s="13" t="str">
        <f t="shared" si="4"/>
        <v>rokprognozy=2026 i lp=151</v>
      </c>
      <c r="R23" s="13" t="str">
        <f t="shared" si="4"/>
        <v>rokprognozy=2027 i lp=151</v>
      </c>
      <c r="S23" s="13" t="str">
        <f t="shared" si="4"/>
        <v>rokprognozy=2028 i lp=151</v>
      </c>
      <c r="T23" s="13" t="str">
        <f t="shared" si="3"/>
        <v>rokprognozy=2029 i lp=151</v>
      </c>
      <c r="U23" s="13" t="str">
        <f t="shared" si="3"/>
        <v>rokprognozy=2030 i lp=151</v>
      </c>
      <c r="V23" s="13" t="str">
        <f t="shared" si="3"/>
        <v>rokprognozy=2031 i lp=151</v>
      </c>
      <c r="W23" s="13" t="str">
        <f t="shared" si="3"/>
        <v>rokprognozy=2032 i lp=151</v>
      </c>
      <c r="X23" s="13" t="str">
        <f t="shared" si="3"/>
        <v>rokprognozy=2033 i lp=151</v>
      </c>
      <c r="Y23" s="13" t="str">
        <f t="shared" si="3"/>
        <v>rokprognozy=2034 i lp=151</v>
      </c>
      <c r="Z23" s="13" t="str">
        <f t="shared" si="3"/>
        <v>rokprognozy=2035 i lp=151</v>
      </c>
      <c r="AA23" s="13" t="str">
        <f t="shared" si="3"/>
        <v>rokprognozy=2036 i lp=151</v>
      </c>
      <c r="AB23" s="13" t="str">
        <f t="shared" si="3"/>
        <v>rokprognozy=2037 i lp=151</v>
      </c>
      <c r="AC23" s="13" t="str">
        <f t="shared" si="3"/>
        <v>rokprognozy=2038 i lp=151</v>
      </c>
      <c r="AD23" s="13" t="str">
        <f t="shared" si="3"/>
        <v>rokprognozy=2039 i lp=151</v>
      </c>
      <c r="AE23" s="13" t="str">
        <f t="shared" si="3"/>
        <v>rokprognozy=2040 i lp=151</v>
      </c>
      <c r="AF23" s="13" t="str">
        <f t="shared" si="3"/>
        <v>rokprognozy=2041 i lp=151</v>
      </c>
      <c r="AG23" s="13" t="str">
        <f t="shared" si="3"/>
        <v>rokprognozy=2042 i lp=151</v>
      </c>
      <c r="AH23" s="13" t="str">
        <f t="shared" si="3"/>
        <v>rokprognozy=2043 i lp=151</v>
      </c>
    </row>
    <row r="24" spans="1:34" ht="14.25">
      <c r="A24" s="75">
        <v>160</v>
      </c>
      <c r="B24" s="233" t="s">
        <v>328</v>
      </c>
      <c r="C24" s="13" t="s">
        <v>107</v>
      </c>
      <c r="D24" s="13" t="str">
        <f aca="true" t="shared" si="5" ref="D24:S39">+"rokprognozy="&amp;D$6&amp;" i lp="&amp;$A24</f>
        <v>rokprognozy=2013 i lp=160</v>
      </c>
      <c r="E24" s="13" t="str">
        <f t="shared" si="5"/>
        <v>rokprognozy=2014 i lp=160</v>
      </c>
      <c r="F24" s="13" t="str">
        <f t="shared" si="5"/>
        <v>rokprognozy=2015 i lp=160</v>
      </c>
      <c r="G24" s="13" t="str">
        <f t="shared" si="5"/>
        <v>rokprognozy=2016 i lp=160</v>
      </c>
      <c r="H24" s="13" t="str">
        <f t="shared" si="5"/>
        <v>rokprognozy=2017 i lp=160</v>
      </c>
      <c r="I24" s="13" t="str">
        <f t="shared" si="5"/>
        <v>rokprognozy=2018 i lp=160</v>
      </c>
      <c r="J24" s="13" t="str">
        <f t="shared" si="5"/>
        <v>rokprognozy=2019 i lp=160</v>
      </c>
      <c r="K24" s="13" t="str">
        <f t="shared" si="5"/>
        <v>rokprognozy=2020 i lp=160</v>
      </c>
      <c r="L24" s="13" t="str">
        <f t="shared" si="5"/>
        <v>rokprognozy=2021 i lp=160</v>
      </c>
      <c r="M24" s="13" t="str">
        <f t="shared" si="5"/>
        <v>rokprognozy=2022 i lp=160</v>
      </c>
      <c r="N24" s="13" t="str">
        <f t="shared" si="5"/>
        <v>rokprognozy=2023 i lp=160</v>
      </c>
      <c r="O24" s="13" t="str">
        <f t="shared" si="5"/>
        <v>rokprognozy=2024 i lp=160</v>
      </c>
      <c r="P24" s="13" t="str">
        <f t="shared" si="5"/>
        <v>rokprognozy=2025 i lp=160</v>
      </c>
      <c r="Q24" s="13" t="str">
        <f t="shared" si="5"/>
        <v>rokprognozy=2026 i lp=160</v>
      </c>
      <c r="R24" s="13" t="str">
        <f t="shared" si="5"/>
        <v>rokprognozy=2027 i lp=160</v>
      </c>
      <c r="S24" s="13" t="str">
        <f t="shared" si="5"/>
        <v>rokprognozy=2028 i lp=160</v>
      </c>
      <c r="T24" s="13" t="str">
        <f t="shared" si="3"/>
        <v>rokprognozy=2029 i lp=160</v>
      </c>
      <c r="U24" s="13" t="str">
        <f t="shared" si="3"/>
        <v>rokprognozy=2030 i lp=160</v>
      </c>
      <c r="V24" s="13" t="str">
        <f t="shared" si="3"/>
        <v>rokprognozy=2031 i lp=160</v>
      </c>
      <c r="W24" s="13" t="str">
        <f t="shared" si="3"/>
        <v>rokprognozy=2032 i lp=160</v>
      </c>
      <c r="X24" s="13" t="str">
        <f t="shared" si="3"/>
        <v>rokprognozy=2033 i lp=160</v>
      </c>
      <c r="Y24" s="13" t="str">
        <f t="shared" si="3"/>
        <v>rokprognozy=2034 i lp=160</v>
      </c>
      <c r="Z24" s="13" t="str">
        <f t="shared" si="3"/>
        <v>rokprognozy=2035 i lp=160</v>
      </c>
      <c r="AA24" s="13" t="str">
        <f t="shared" si="3"/>
        <v>rokprognozy=2036 i lp=160</v>
      </c>
      <c r="AB24" s="13" t="str">
        <f t="shared" si="3"/>
        <v>rokprognozy=2037 i lp=160</v>
      </c>
      <c r="AC24" s="13" t="str">
        <f t="shared" si="3"/>
        <v>rokprognozy=2038 i lp=160</v>
      </c>
      <c r="AD24" s="13" t="str">
        <f t="shared" si="3"/>
        <v>rokprognozy=2039 i lp=160</v>
      </c>
      <c r="AE24" s="13" t="str">
        <f t="shared" si="3"/>
        <v>rokprognozy=2040 i lp=160</v>
      </c>
      <c r="AF24" s="13" t="str">
        <f t="shared" si="3"/>
        <v>rokprognozy=2041 i lp=160</v>
      </c>
      <c r="AG24" s="13" t="str">
        <f t="shared" si="3"/>
        <v>rokprognozy=2042 i lp=160</v>
      </c>
      <c r="AH24" s="13" t="str">
        <f t="shared" si="3"/>
        <v>rokprognozy=2043 i lp=160</v>
      </c>
    </row>
    <row r="25" spans="1:34" ht="14.25">
      <c r="A25" s="75">
        <v>170</v>
      </c>
      <c r="B25" s="26" t="s">
        <v>253</v>
      </c>
      <c r="C25" s="13" t="s">
        <v>272</v>
      </c>
      <c r="D25" s="13" t="str">
        <f t="shared" si="5"/>
        <v>rokprognozy=2013 i lp=170</v>
      </c>
      <c r="E25" s="13" t="str">
        <f t="shared" si="5"/>
        <v>rokprognozy=2014 i lp=170</v>
      </c>
      <c r="F25" s="13" t="str">
        <f t="shared" si="5"/>
        <v>rokprognozy=2015 i lp=170</v>
      </c>
      <c r="G25" s="13" t="str">
        <f t="shared" si="5"/>
        <v>rokprognozy=2016 i lp=170</v>
      </c>
      <c r="H25" s="13" t="str">
        <f t="shared" si="5"/>
        <v>rokprognozy=2017 i lp=170</v>
      </c>
      <c r="I25" s="13" t="str">
        <f t="shared" si="5"/>
        <v>rokprognozy=2018 i lp=170</v>
      </c>
      <c r="J25" s="13" t="str">
        <f t="shared" si="5"/>
        <v>rokprognozy=2019 i lp=170</v>
      </c>
      <c r="K25" s="13" t="str">
        <f t="shared" si="5"/>
        <v>rokprognozy=2020 i lp=170</v>
      </c>
      <c r="L25" s="13" t="str">
        <f t="shared" si="5"/>
        <v>rokprognozy=2021 i lp=170</v>
      </c>
      <c r="M25" s="13" t="str">
        <f t="shared" si="5"/>
        <v>rokprognozy=2022 i lp=170</v>
      </c>
      <c r="N25" s="13" t="str">
        <f t="shared" si="5"/>
        <v>rokprognozy=2023 i lp=170</v>
      </c>
      <c r="O25" s="13" t="str">
        <f t="shared" si="5"/>
        <v>rokprognozy=2024 i lp=170</v>
      </c>
      <c r="P25" s="13" t="str">
        <f t="shared" si="5"/>
        <v>rokprognozy=2025 i lp=170</v>
      </c>
      <c r="Q25" s="13" t="str">
        <f t="shared" si="5"/>
        <v>rokprognozy=2026 i lp=170</v>
      </c>
      <c r="R25" s="13" t="str">
        <f t="shared" si="5"/>
        <v>rokprognozy=2027 i lp=170</v>
      </c>
      <c r="S25" s="13" t="str">
        <f t="shared" si="5"/>
        <v>rokprognozy=2028 i lp=170</v>
      </c>
      <c r="T25" s="13" t="str">
        <f t="shared" si="3"/>
        <v>rokprognozy=2029 i lp=170</v>
      </c>
      <c r="U25" s="13" t="str">
        <f t="shared" si="3"/>
        <v>rokprognozy=2030 i lp=170</v>
      </c>
      <c r="V25" s="13" t="str">
        <f t="shared" si="3"/>
        <v>rokprognozy=2031 i lp=170</v>
      </c>
      <c r="W25" s="13" t="str">
        <f t="shared" si="3"/>
        <v>rokprognozy=2032 i lp=170</v>
      </c>
      <c r="X25" s="13" t="str">
        <f t="shared" si="3"/>
        <v>rokprognozy=2033 i lp=170</v>
      </c>
      <c r="Y25" s="13" t="str">
        <f t="shared" si="3"/>
        <v>rokprognozy=2034 i lp=170</v>
      </c>
      <c r="Z25" s="13" t="str">
        <f t="shared" si="3"/>
        <v>rokprognozy=2035 i lp=170</v>
      </c>
      <c r="AA25" s="13" t="str">
        <f t="shared" si="3"/>
        <v>rokprognozy=2036 i lp=170</v>
      </c>
      <c r="AB25" s="13" t="str">
        <f t="shared" si="3"/>
        <v>rokprognozy=2037 i lp=170</v>
      </c>
      <c r="AC25" s="13" t="str">
        <f t="shared" si="3"/>
        <v>rokprognozy=2038 i lp=170</v>
      </c>
      <c r="AD25" s="13" t="str">
        <f t="shared" si="3"/>
        <v>rokprognozy=2039 i lp=170</v>
      </c>
      <c r="AE25" s="13" t="str">
        <f t="shared" si="3"/>
        <v>rokprognozy=2040 i lp=170</v>
      </c>
      <c r="AF25" s="13" t="str">
        <f t="shared" si="3"/>
        <v>rokprognozy=2041 i lp=170</v>
      </c>
      <c r="AG25" s="13" t="str">
        <f t="shared" si="3"/>
        <v>rokprognozy=2042 i lp=170</v>
      </c>
      <c r="AH25" s="13" t="str">
        <f t="shared" si="3"/>
        <v>rokprognozy=2043 i lp=170</v>
      </c>
    </row>
    <row r="26" spans="1:34" ht="14.25">
      <c r="A26" s="75">
        <v>171</v>
      </c>
      <c r="B26" s="26" t="s">
        <v>254</v>
      </c>
      <c r="C26" s="13" t="s">
        <v>108</v>
      </c>
      <c r="D26" s="13" t="str">
        <f t="shared" si="5"/>
        <v>rokprognozy=2013 i lp=171</v>
      </c>
      <c r="E26" s="13" t="str">
        <f t="shared" si="5"/>
        <v>rokprognozy=2014 i lp=171</v>
      </c>
      <c r="F26" s="13" t="str">
        <f t="shared" si="5"/>
        <v>rokprognozy=2015 i lp=171</v>
      </c>
      <c r="G26" s="13" t="str">
        <f t="shared" si="5"/>
        <v>rokprognozy=2016 i lp=171</v>
      </c>
      <c r="H26" s="13" t="str">
        <f t="shared" si="5"/>
        <v>rokprognozy=2017 i lp=171</v>
      </c>
      <c r="I26" s="13" t="str">
        <f t="shared" si="5"/>
        <v>rokprognozy=2018 i lp=171</v>
      </c>
      <c r="J26" s="13" t="str">
        <f t="shared" si="5"/>
        <v>rokprognozy=2019 i lp=171</v>
      </c>
      <c r="K26" s="13" t="str">
        <f t="shared" si="5"/>
        <v>rokprognozy=2020 i lp=171</v>
      </c>
      <c r="L26" s="13" t="str">
        <f t="shared" si="5"/>
        <v>rokprognozy=2021 i lp=171</v>
      </c>
      <c r="M26" s="13" t="str">
        <f t="shared" si="5"/>
        <v>rokprognozy=2022 i lp=171</v>
      </c>
      <c r="N26" s="13" t="str">
        <f t="shared" si="5"/>
        <v>rokprognozy=2023 i lp=171</v>
      </c>
      <c r="O26" s="13" t="str">
        <f t="shared" si="5"/>
        <v>rokprognozy=2024 i lp=171</v>
      </c>
      <c r="P26" s="13" t="str">
        <f t="shared" si="5"/>
        <v>rokprognozy=2025 i lp=171</v>
      </c>
      <c r="Q26" s="13" t="str">
        <f t="shared" si="5"/>
        <v>rokprognozy=2026 i lp=171</v>
      </c>
      <c r="R26" s="13" t="str">
        <f t="shared" si="5"/>
        <v>rokprognozy=2027 i lp=171</v>
      </c>
      <c r="S26" s="13" t="str">
        <f t="shared" si="5"/>
        <v>rokprognozy=2028 i lp=171</v>
      </c>
      <c r="T26" s="13" t="str">
        <f t="shared" si="3"/>
        <v>rokprognozy=2029 i lp=171</v>
      </c>
      <c r="U26" s="13" t="str">
        <f t="shared" si="3"/>
        <v>rokprognozy=2030 i lp=171</v>
      </c>
      <c r="V26" s="13" t="str">
        <f t="shared" si="3"/>
        <v>rokprognozy=2031 i lp=171</v>
      </c>
      <c r="W26" s="13" t="str">
        <f t="shared" si="3"/>
        <v>rokprognozy=2032 i lp=171</v>
      </c>
      <c r="X26" s="13" t="str">
        <f t="shared" si="3"/>
        <v>rokprognozy=2033 i lp=171</v>
      </c>
      <c r="Y26" s="13" t="str">
        <f t="shared" si="3"/>
        <v>rokprognozy=2034 i lp=171</v>
      </c>
      <c r="Z26" s="13" t="str">
        <f t="shared" si="3"/>
        <v>rokprognozy=2035 i lp=171</v>
      </c>
      <c r="AA26" s="13" t="str">
        <f t="shared" si="3"/>
        <v>rokprognozy=2036 i lp=171</v>
      </c>
      <c r="AB26" s="13" t="str">
        <f t="shared" si="3"/>
        <v>rokprognozy=2037 i lp=171</v>
      </c>
      <c r="AC26" s="13" t="str">
        <f t="shared" si="3"/>
        <v>rokprognozy=2038 i lp=171</v>
      </c>
      <c r="AD26" s="13" t="str">
        <f t="shared" si="3"/>
        <v>rokprognozy=2039 i lp=171</v>
      </c>
      <c r="AE26" s="13" t="str">
        <f t="shared" si="3"/>
        <v>rokprognozy=2040 i lp=171</v>
      </c>
      <c r="AF26" s="13" t="str">
        <f t="shared" si="3"/>
        <v>rokprognozy=2041 i lp=171</v>
      </c>
      <c r="AG26" s="13" t="str">
        <f t="shared" si="3"/>
        <v>rokprognozy=2042 i lp=171</v>
      </c>
      <c r="AH26" s="13" t="str">
        <f t="shared" si="3"/>
        <v>rokprognozy=2043 i lp=171</v>
      </c>
    </row>
    <row r="27" spans="1:34" ht="14.25">
      <c r="A27" s="75">
        <v>173</v>
      </c>
      <c r="B27" s="26" t="s">
        <v>255</v>
      </c>
      <c r="C27" s="13" t="s">
        <v>273</v>
      </c>
      <c r="D27" s="13" t="str">
        <f t="shared" si="5"/>
        <v>rokprognozy=2013 i lp=173</v>
      </c>
      <c r="E27" s="13" t="str">
        <f t="shared" si="5"/>
        <v>rokprognozy=2014 i lp=173</v>
      </c>
      <c r="F27" s="13" t="str">
        <f t="shared" si="5"/>
        <v>rokprognozy=2015 i lp=173</v>
      </c>
      <c r="G27" s="13" t="str">
        <f t="shared" si="5"/>
        <v>rokprognozy=2016 i lp=173</v>
      </c>
      <c r="H27" s="13" t="str">
        <f t="shared" si="5"/>
        <v>rokprognozy=2017 i lp=173</v>
      </c>
      <c r="I27" s="13" t="str">
        <f t="shared" si="5"/>
        <v>rokprognozy=2018 i lp=173</v>
      </c>
      <c r="J27" s="13" t="str">
        <f t="shared" si="5"/>
        <v>rokprognozy=2019 i lp=173</v>
      </c>
      <c r="K27" s="13" t="str">
        <f t="shared" si="5"/>
        <v>rokprognozy=2020 i lp=173</v>
      </c>
      <c r="L27" s="13" t="str">
        <f t="shared" si="5"/>
        <v>rokprognozy=2021 i lp=173</v>
      </c>
      <c r="M27" s="13" t="str">
        <f t="shared" si="5"/>
        <v>rokprognozy=2022 i lp=173</v>
      </c>
      <c r="N27" s="13" t="str">
        <f t="shared" si="5"/>
        <v>rokprognozy=2023 i lp=173</v>
      </c>
      <c r="O27" s="13" t="str">
        <f t="shared" si="5"/>
        <v>rokprognozy=2024 i lp=173</v>
      </c>
      <c r="P27" s="13" t="str">
        <f t="shared" si="5"/>
        <v>rokprognozy=2025 i lp=173</v>
      </c>
      <c r="Q27" s="13" t="str">
        <f t="shared" si="5"/>
        <v>rokprognozy=2026 i lp=173</v>
      </c>
      <c r="R27" s="13" t="str">
        <f t="shared" si="5"/>
        <v>rokprognozy=2027 i lp=173</v>
      </c>
      <c r="S27" s="13" t="str">
        <f t="shared" si="5"/>
        <v>rokprognozy=2028 i lp=173</v>
      </c>
      <c r="T27" s="13" t="str">
        <f t="shared" si="3"/>
        <v>rokprognozy=2029 i lp=173</v>
      </c>
      <c r="U27" s="13" t="str">
        <f t="shared" si="3"/>
        <v>rokprognozy=2030 i lp=173</v>
      </c>
      <c r="V27" s="13" t="str">
        <f t="shared" si="3"/>
        <v>rokprognozy=2031 i lp=173</v>
      </c>
      <c r="W27" s="13" t="str">
        <f t="shared" si="3"/>
        <v>rokprognozy=2032 i lp=173</v>
      </c>
      <c r="X27" s="13" t="str">
        <f t="shared" si="3"/>
        <v>rokprognozy=2033 i lp=173</v>
      </c>
      <c r="Y27" s="13" t="str">
        <f t="shared" si="3"/>
        <v>rokprognozy=2034 i lp=173</v>
      </c>
      <c r="Z27" s="13" t="str">
        <f t="shared" si="3"/>
        <v>rokprognozy=2035 i lp=173</v>
      </c>
      <c r="AA27" s="13" t="str">
        <f t="shared" si="3"/>
        <v>rokprognozy=2036 i lp=173</v>
      </c>
      <c r="AB27" s="13" t="str">
        <f t="shared" si="3"/>
        <v>rokprognozy=2037 i lp=173</v>
      </c>
      <c r="AC27" s="13" t="str">
        <f t="shared" si="3"/>
        <v>rokprognozy=2038 i lp=173</v>
      </c>
      <c r="AD27" s="13" t="str">
        <f t="shared" si="3"/>
        <v>rokprognozy=2039 i lp=173</v>
      </c>
      <c r="AE27" s="13" t="str">
        <f t="shared" si="3"/>
        <v>rokprognozy=2040 i lp=173</v>
      </c>
      <c r="AF27" s="13" t="str">
        <f t="shared" si="3"/>
        <v>rokprognozy=2041 i lp=173</v>
      </c>
      <c r="AG27" s="13" t="str">
        <f t="shared" si="3"/>
        <v>rokprognozy=2042 i lp=173</v>
      </c>
      <c r="AH27" s="13" t="str">
        <f t="shared" si="3"/>
        <v>rokprognozy=2043 i lp=173</v>
      </c>
    </row>
    <row r="28" spans="1:34" ht="14.25">
      <c r="A28" s="75">
        <v>175</v>
      </c>
      <c r="B28" s="26" t="s">
        <v>256</v>
      </c>
      <c r="C28" s="13" t="s">
        <v>108</v>
      </c>
      <c r="D28" s="13" t="str">
        <f t="shared" si="5"/>
        <v>rokprognozy=2013 i lp=175</v>
      </c>
      <c r="E28" s="13" t="str">
        <f t="shared" si="5"/>
        <v>rokprognozy=2014 i lp=175</v>
      </c>
      <c r="F28" s="13" t="str">
        <f t="shared" si="5"/>
        <v>rokprognozy=2015 i lp=175</v>
      </c>
      <c r="G28" s="13" t="str">
        <f t="shared" si="5"/>
        <v>rokprognozy=2016 i lp=175</v>
      </c>
      <c r="H28" s="13" t="str">
        <f t="shared" si="5"/>
        <v>rokprognozy=2017 i lp=175</v>
      </c>
      <c r="I28" s="13" t="str">
        <f t="shared" si="5"/>
        <v>rokprognozy=2018 i lp=175</v>
      </c>
      <c r="J28" s="13" t="str">
        <f t="shared" si="5"/>
        <v>rokprognozy=2019 i lp=175</v>
      </c>
      <c r="K28" s="13" t="str">
        <f t="shared" si="5"/>
        <v>rokprognozy=2020 i lp=175</v>
      </c>
      <c r="L28" s="13" t="str">
        <f t="shared" si="5"/>
        <v>rokprognozy=2021 i lp=175</v>
      </c>
      <c r="M28" s="13" t="str">
        <f t="shared" si="5"/>
        <v>rokprognozy=2022 i lp=175</v>
      </c>
      <c r="N28" s="13" t="str">
        <f t="shared" si="5"/>
        <v>rokprognozy=2023 i lp=175</v>
      </c>
      <c r="O28" s="13" t="str">
        <f t="shared" si="5"/>
        <v>rokprognozy=2024 i lp=175</v>
      </c>
      <c r="P28" s="13" t="str">
        <f t="shared" si="5"/>
        <v>rokprognozy=2025 i lp=175</v>
      </c>
      <c r="Q28" s="13" t="str">
        <f t="shared" si="5"/>
        <v>rokprognozy=2026 i lp=175</v>
      </c>
      <c r="R28" s="13" t="str">
        <f t="shared" si="5"/>
        <v>rokprognozy=2027 i lp=175</v>
      </c>
      <c r="S28" s="13" t="str">
        <f t="shared" si="5"/>
        <v>rokprognozy=2028 i lp=175</v>
      </c>
      <c r="T28" s="13" t="str">
        <f t="shared" si="3"/>
        <v>rokprognozy=2029 i lp=175</v>
      </c>
      <c r="U28" s="13" t="str">
        <f t="shared" si="3"/>
        <v>rokprognozy=2030 i lp=175</v>
      </c>
      <c r="V28" s="13" t="str">
        <f t="shared" si="3"/>
        <v>rokprognozy=2031 i lp=175</v>
      </c>
      <c r="W28" s="13" t="str">
        <f t="shared" si="3"/>
        <v>rokprognozy=2032 i lp=175</v>
      </c>
      <c r="X28" s="13" t="str">
        <f t="shared" si="3"/>
        <v>rokprognozy=2033 i lp=175</v>
      </c>
      <c r="Y28" s="13" t="str">
        <f t="shared" si="3"/>
        <v>rokprognozy=2034 i lp=175</v>
      </c>
      <c r="Z28" s="13" t="str">
        <f t="shared" si="3"/>
        <v>rokprognozy=2035 i lp=175</v>
      </c>
      <c r="AA28" s="13" t="str">
        <f t="shared" si="3"/>
        <v>rokprognozy=2036 i lp=175</v>
      </c>
      <c r="AB28" s="13" t="str">
        <f t="shared" si="3"/>
        <v>rokprognozy=2037 i lp=175</v>
      </c>
      <c r="AC28" s="13" t="str">
        <f t="shared" si="3"/>
        <v>rokprognozy=2038 i lp=175</v>
      </c>
      <c r="AD28" s="13" t="str">
        <f t="shared" si="3"/>
        <v>rokprognozy=2039 i lp=175</v>
      </c>
      <c r="AE28" s="13" t="str">
        <f t="shared" si="3"/>
        <v>rokprognozy=2040 i lp=175</v>
      </c>
      <c r="AF28" s="13" t="str">
        <f t="shared" si="3"/>
        <v>rokprognozy=2041 i lp=175</v>
      </c>
      <c r="AG28" s="13" t="str">
        <f t="shared" si="3"/>
        <v>rokprognozy=2042 i lp=175</v>
      </c>
      <c r="AH28" s="13" t="str">
        <f t="shared" si="3"/>
        <v>rokprognozy=2043 i lp=175</v>
      </c>
    </row>
    <row r="29" spans="1:34" ht="14.25">
      <c r="A29" s="75">
        <v>180</v>
      </c>
      <c r="B29" s="233" t="s">
        <v>329</v>
      </c>
      <c r="C29" s="13" t="s">
        <v>109</v>
      </c>
      <c r="D29" s="13" t="str">
        <f t="shared" si="5"/>
        <v>rokprognozy=2013 i lp=180</v>
      </c>
      <c r="E29" s="13" t="str">
        <f t="shared" si="5"/>
        <v>rokprognozy=2014 i lp=180</v>
      </c>
      <c r="F29" s="13" t="str">
        <f t="shared" si="5"/>
        <v>rokprognozy=2015 i lp=180</v>
      </c>
      <c r="G29" s="13" t="str">
        <f t="shared" si="5"/>
        <v>rokprognozy=2016 i lp=180</v>
      </c>
      <c r="H29" s="13" t="str">
        <f t="shared" si="5"/>
        <v>rokprognozy=2017 i lp=180</v>
      </c>
      <c r="I29" s="13" t="str">
        <f t="shared" si="5"/>
        <v>rokprognozy=2018 i lp=180</v>
      </c>
      <c r="J29" s="13" t="str">
        <f t="shared" si="5"/>
        <v>rokprognozy=2019 i lp=180</v>
      </c>
      <c r="K29" s="13" t="str">
        <f t="shared" si="5"/>
        <v>rokprognozy=2020 i lp=180</v>
      </c>
      <c r="L29" s="13" t="str">
        <f t="shared" si="5"/>
        <v>rokprognozy=2021 i lp=180</v>
      </c>
      <c r="M29" s="13" t="str">
        <f t="shared" si="5"/>
        <v>rokprognozy=2022 i lp=180</v>
      </c>
      <c r="N29" s="13" t="str">
        <f t="shared" si="5"/>
        <v>rokprognozy=2023 i lp=180</v>
      </c>
      <c r="O29" s="13" t="str">
        <f t="shared" si="5"/>
        <v>rokprognozy=2024 i lp=180</v>
      </c>
      <c r="P29" s="13" t="str">
        <f t="shared" si="5"/>
        <v>rokprognozy=2025 i lp=180</v>
      </c>
      <c r="Q29" s="13" t="str">
        <f t="shared" si="5"/>
        <v>rokprognozy=2026 i lp=180</v>
      </c>
      <c r="R29" s="13" t="str">
        <f t="shared" si="5"/>
        <v>rokprognozy=2027 i lp=180</v>
      </c>
      <c r="S29" s="13" t="str">
        <f t="shared" si="5"/>
        <v>rokprognozy=2028 i lp=180</v>
      </c>
      <c r="T29" s="13" t="str">
        <f t="shared" si="3"/>
        <v>rokprognozy=2029 i lp=180</v>
      </c>
      <c r="U29" s="13" t="str">
        <f t="shared" si="3"/>
        <v>rokprognozy=2030 i lp=180</v>
      </c>
      <c r="V29" s="13" t="str">
        <f t="shared" si="3"/>
        <v>rokprognozy=2031 i lp=180</v>
      </c>
      <c r="W29" s="13" t="str">
        <f t="shared" si="3"/>
        <v>rokprognozy=2032 i lp=180</v>
      </c>
      <c r="X29" s="13" t="str">
        <f t="shared" si="3"/>
        <v>rokprognozy=2033 i lp=180</v>
      </c>
      <c r="Y29" s="13" t="str">
        <f t="shared" si="3"/>
        <v>rokprognozy=2034 i lp=180</v>
      </c>
      <c r="Z29" s="13" t="str">
        <f t="shared" si="3"/>
        <v>rokprognozy=2035 i lp=180</v>
      </c>
      <c r="AA29" s="13" t="str">
        <f t="shared" si="3"/>
        <v>rokprognozy=2036 i lp=180</v>
      </c>
      <c r="AB29" s="13" t="str">
        <f t="shared" si="3"/>
        <v>rokprognozy=2037 i lp=180</v>
      </c>
      <c r="AC29" s="13" t="str">
        <f t="shared" si="3"/>
        <v>rokprognozy=2038 i lp=180</v>
      </c>
      <c r="AD29" s="13" t="str">
        <f t="shared" si="3"/>
        <v>rokprognozy=2039 i lp=180</v>
      </c>
      <c r="AE29" s="13" t="str">
        <f t="shared" si="3"/>
        <v>rokprognozy=2040 i lp=180</v>
      </c>
      <c r="AF29" s="13" t="str">
        <f t="shared" si="3"/>
        <v>rokprognozy=2041 i lp=180</v>
      </c>
      <c r="AG29" s="13" t="str">
        <f t="shared" si="3"/>
        <v>rokprognozy=2042 i lp=180</v>
      </c>
      <c r="AH29" s="13" t="str">
        <f t="shared" si="3"/>
        <v>rokprognozy=2043 i lp=180</v>
      </c>
    </row>
    <row r="30" spans="1:34" ht="14.25">
      <c r="A30" s="75">
        <v>185</v>
      </c>
      <c r="B30" s="26" t="s">
        <v>110</v>
      </c>
      <c r="C30" s="13" t="s">
        <v>108</v>
      </c>
      <c r="D30" s="13" t="str">
        <f t="shared" si="5"/>
        <v>rokprognozy=2013 i lp=185</v>
      </c>
      <c r="E30" s="13" t="str">
        <f t="shared" si="5"/>
        <v>rokprognozy=2014 i lp=185</v>
      </c>
      <c r="F30" s="13" t="str">
        <f t="shared" si="5"/>
        <v>rokprognozy=2015 i lp=185</v>
      </c>
      <c r="G30" s="13" t="str">
        <f t="shared" si="5"/>
        <v>rokprognozy=2016 i lp=185</v>
      </c>
      <c r="H30" s="13" t="str">
        <f t="shared" si="5"/>
        <v>rokprognozy=2017 i lp=185</v>
      </c>
      <c r="I30" s="13" t="str">
        <f t="shared" si="5"/>
        <v>rokprognozy=2018 i lp=185</v>
      </c>
      <c r="J30" s="13" t="str">
        <f t="shared" si="5"/>
        <v>rokprognozy=2019 i lp=185</v>
      </c>
      <c r="K30" s="13" t="str">
        <f t="shared" si="5"/>
        <v>rokprognozy=2020 i lp=185</v>
      </c>
      <c r="L30" s="13" t="str">
        <f t="shared" si="5"/>
        <v>rokprognozy=2021 i lp=185</v>
      </c>
      <c r="M30" s="13" t="str">
        <f t="shared" si="5"/>
        <v>rokprognozy=2022 i lp=185</v>
      </c>
      <c r="N30" s="13" t="str">
        <f t="shared" si="5"/>
        <v>rokprognozy=2023 i lp=185</v>
      </c>
      <c r="O30" s="13" t="str">
        <f t="shared" si="5"/>
        <v>rokprognozy=2024 i lp=185</v>
      </c>
      <c r="P30" s="13" t="str">
        <f t="shared" si="5"/>
        <v>rokprognozy=2025 i lp=185</v>
      </c>
      <c r="Q30" s="13" t="str">
        <f t="shared" si="5"/>
        <v>rokprognozy=2026 i lp=185</v>
      </c>
      <c r="R30" s="13" t="str">
        <f t="shared" si="5"/>
        <v>rokprognozy=2027 i lp=185</v>
      </c>
      <c r="S30" s="13" t="str">
        <f t="shared" si="5"/>
        <v>rokprognozy=2028 i lp=185</v>
      </c>
      <c r="T30" s="13" t="str">
        <f t="shared" si="3"/>
        <v>rokprognozy=2029 i lp=185</v>
      </c>
      <c r="U30" s="13" t="str">
        <f t="shared" si="3"/>
        <v>rokprognozy=2030 i lp=185</v>
      </c>
      <c r="V30" s="13" t="str">
        <f t="shared" si="3"/>
        <v>rokprognozy=2031 i lp=185</v>
      </c>
      <c r="W30" s="13" t="str">
        <f t="shared" si="3"/>
        <v>rokprognozy=2032 i lp=185</v>
      </c>
      <c r="X30" s="13" t="str">
        <f t="shared" si="3"/>
        <v>rokprognozy=2033 i lp=185</v>
      </c>
      <c r="Y30" s="13" t="str">
        <f t="shared" si="3"/>
        <v>rokprognozy=2034 i lp=185</v>
      </c>
      <c r="Z30" s="13" t="str">
        <f t="shared" si="3"/>
        <v>rokprognozy=2035 i lp=185</v>
      </c>
      <c r="AA30" s="13" t="str">
        <f t="shared" si="3"/>
        <v>rokprognozy=2036 i lp=185</v>
      </c>
      <c r="AB30" s="13" t="str">
        <f t="shared" si="3"/>
        <v>rokprognozy=2037 i lp=185</v>
      </c>
      <c r="AC30" s="13" t="str">
        <f t="shared" si="3"/>
        <v>rokprognozy=2038 i lp=185</v>
      </c>
      <c r="AD30" s="13" t="str">
        <f t="shared" si="3"/>
        <v>rokprognozy=2039 i lp=185</v>
      </c>
      <c r="AE30" s="13" t="str">
        <f t="shared" si="3"/>
        <v>rokprognozy=2040 i lp=185</v>
      </c>
      <c r="AF30" s="13" t="str">
        <f t="shared" si="3"/>
        <v>rokprognozy=2041 i lp=185</v>
      </c>
      <c r="AG30" s="13" t="str">
        <f t="shared" si="3"/>
        <v>rokprognozy=2042 i lp=185</v>
      </c>
      <c r="AH30" s="13" t="str">
        <f t="shared" si="3"/>
        <v>rokprognozy=2043 i lp=185</v>
      </c>
    </row>
    <row r="31" spans="1:34" ht="14.25">
      <c r="A31" s="75">
        <v>190</v>
      </c>
      <c r="B31" s="233" t="s">
        <v>330</v>
      </c>
      <c r="C31" s="13" t="s">
        <v>111</v>
      </c>
      <c r="D31" s="13" t="str">
        <f t="shared" si="5"/>
        <v>rokprognozy=2013 i lp=190</v>
      </c>
      <c r="E31" s="13" t="str">
        <f t="shared" si="5"/>
        <v>rokprognozy=2014 i lp=190</v>
      </c>
      <c r="F31" s="13" t="str">
        <f t="shared" si="5"/>
        <v>rokprognozy=2015 i lp=190</v>
      </c>
      <c r="G31" s="13" t="str">
        <f t="shared" si="5"/>
        <v>rokprognozy=2016 i lp=190</v>
      </c>
      <c r="H31" s="13" t="str">
        <f t="shared" si="5"/>
        <v>rokprognozy=2017 i lp=190</v>
      </c>
      <c r="I31" s="13" t="str">
        <f t="shared" si="5"/>
        <v>rokprognozy=2018 i lp=190</v>
      </c>
      <c r="J31" s="13" t="str">
        <f t="shared" si="5"/>
        <v>rokprognozy=2019 i lp=190</v>
      </c>
      <c r="K31" s="13" t="str">
        <f t="shared" si="5"/>
        <v>rokprognozy=2020 i lp=190</v>
      </c>
      <c r="L31" s="13" t="str">
        <f t="shared" si="5"/>
        <v>rokprognozy=2021 i lp=190</v>
      </c>
      <c r="M31" s="13" t="str">
        <f t="shared" si="5"/>
        <v>rokprognozy=2022 i lp=190</v>
      </c>
      <c r="N31" s="13" t="str">
        <f t="shared" si="5"/>
        <v>rokprognozy=2023 i lp=190</v>
      </c>
      <c r="O31" s="13" t="str">
        <f t="shared" si="5"/>
        <v>rokprognozy=2024 i lp=190</v>
      </c>
      <c r="P31" s="13" t="str">
        <f t="shared" si="5"/>
        <v>rokprognozy=2025 i lp=190</v>
      </c>
      <c r="Q31" s="13" t="str">
        <f t="shared" si="5"/>
        <v>rokprognozy=2026 i lp=190</v>
      </c>
      <c r="R31" s="13" t="str">
        <f t="shared" si="5"/>
        <v>rokprognozy=2027 i lp=190</v>
      </c>
      <c r="S31" s="13" t="str">
        <f t="shared" si="5"/>
        <v>rokprognozy=2028 i lp=190</v>
      </c>
      <c r="T31" s="13" t="str">
        <f t="shared" si="3"/>
        <v>rokprognozy=2029 i lp=190</v>
      </c>
      <c r="U31" s="13" t="str">
        <f t="shared" si="3"/>
        <v>rokprognozy=2030 i lp=190</v>
      </c>
      <c r="V31" s="13" t="str">
        <f t="shared" si="3"/>
        <v>rokprognozy=2031 i lp=190</v>
      </c>
      <c r="W31" s="13" t="str">
        <f t="shared" si="3"/>
        <v>rokprognozy=2032 i lp=190</v>
      </c>
      <c r="X31" s="13" t="str">
        <f t="shared" si="3"/>
        <v>rokprognozy=2033 i lp=190</v>
      </c>
      <c r="Y31" s="13" t="str">
        <f t="shared" si="3"/>
        <v>rokprognozy=2034 i lp=190</v>
      </c>
      <c r="Z31" s="13" t="str">
        <f t="shared" si="3"/>
        <v>rokprognozy=2035 i lp=190</v>
      </c>
      <c r="AA31" s="13" t="str">
        <f t="shared" si="3"/>
        <v>rokprognozy=2036 i lp=190</v>
      </c>
      <c r="AB31" s="13" t="str">
        <f t="shared" si="3"/>
        <v>rokprognozy=2037 i lp=190</v>
      </c>
      <c r="AC31" s="13" t="str">
        <f t="shared" si="3"/>
        <v>rokprognozy=2038 i lp=190</v>
      </c>
      <c r="AD31" s="13" t="str">
        <f t="shared" si="3"/>
        <v>rokprognozy=2039 i lp=190</v>
      </c>
      <c r="AE31" s="13" t="str">
        <f t="shared" si="3"/>
        <v>rokprognozy=2040 i lp=190</v>
      </c>
      <c r="AF31" s="13" t="str">
        <f t="shared" si="3"/>
        <v>rokprognozy=2041 i lp=190</v>
      </c>
      <c r="AG31" s="13" t="str">
        <f t="shared" si="3"/>
        <v>rokprognozy=2042 i lp=190</v>
      </c>
      <c r="AH31" s="13" t="str">
        <f t="shared" si="3"/>
        <v>rokprognozy=2043 i lp=190</v>
      </c>
    </row>
    <row r="32" spans="1:34" ht="14.25">
      <c r="A32" s="75">
        <v>200</v>
      </c>
      <c r="B32" s="233" t="s">
        <v>331</v>
      </c>
      <c r="C32" s="13" t="s">
        <v>11</v>
      </c>
      <c r="D32" s="13" t="str">
        <f t="shared" si="5"/>
        <v>rokprognozy=2013 i lp=200</v>
      </c>
      <c r="E32" s="13" t="str">
        <f t="shared" si="5"/>
        <v>rokprognozy=2014 i lp=200</v>
      </c>
      <c r="F32" s="13" t="str">
        <f t="shared" si="5"/>
        <v>rokprognozy=2015 i lp=200</v>
      </c>
      <c r="G32" s="13" t="str">
        <f t="shared" si="5"/>
        <v>rokprognozy=2016 i lp=200</v>
      </c>
      <c r="H32" s="13" t="str">
        <f t="shared" si="5"/>
        <v>rokprognozy=2017 i lp=200</v>
      </c>
      <c r="I32" s="13" t="str">
        <f t="shared" si="5"/>
        <v>rokprognozy=2018 i lp=200</v>
      </c>
      <c r="J32" s="13" t="str">
        <f t="shared" si="5"/>
        <v>rokprognozy=2019 i lp=200</v>
      </c>
      <c r="K32" s="13" t="str">
        <f t="shared" si="5"/>
        <v>rokprognozy=2020 i lp=200</v>
      </c>
      <c r="L32" s="13" t="str">
        <f t="shared" si="5"/>
        <v>rokprognozy=2021 i lp=200</v>
      </c>
      <c r="M32" s="13" t="str">
        <f t="shared" si="5"/>
        <v>rokprognozy=2022 i lp=200</v>
      </c>
      <c r="N32" s="13" t="str">
        <f t="shared" si="5"/>
        <v>rokprognozy=2023 i lp=200</v>
      </c>
      <c r="O32" s="13" t="str">
        <f t="shared" si="5"/>
        <v>rokprognozy=2024 i lp=200</v>
      </c>
      <c r="P32" s="13" t="str">
        <f t="shared" si="5"/>
        <v>rokprognozy=2025 i lp=200</v>
      </c>
      <c r="Q32" s="13" t="str">
        <f t="shared" si="5"/>
        <v>rokprognozy=2026 i lp=200</v>
      </c>
      <c r="R32" s="13" t="str">
        <f t="shared" si="5"/>
        <v>rokprognozy=2027 i lp=200</v>
      </c>
      <c r="S32" s="13" t="str">
        <f t="shared" si="5"/>
        <v>rokprognozy=2028 i lp=200</v>
      </c>
      <c r="T32" s="13" t="str">
        <f t="shared" si="3"/>
        <v>rokprognozy=2029 i lp=200</v>
      </c>
      <c r="U32" s="13" t="str">
        <f t="shared" si="3"/>
        <v>rokprognozy=2030 i lp=200</v>
      </c>
      <c r="V32" s="13" t="str">
        <f t="shared" si="3"/>
        <v>rokprognozy=2031 i lp=200</v>
      </c>
      <c r="W32" s="13" t="str">
        <f t="shared" si="3"/>
        <v>rokprognozy=2032 i lp=200</v>
      </c>
      <c r="X32" s="13" t="str">
        <f t="shared" si="3"/>
        <v>rokprognozy=2033 i lp=200</v>
      </c>
      <c r="Y32" s="13" t="str">
        <f t="shared" si="3"/>
        <v>rokprognozy=2034 i lp=200</v>
      </c>
      <c r="Z32" s="13" t="str">
        <f t="shared" si="3"/>
        <v>rokprognozy=2035 i lp=200</v>
      </c>
      <c r="AA32" s="13" t="str">
        <f t="shared" si="3"/>
        <v>rokprognozy=2036 i lp=200</v>
      </c>
      <c r="AB32" s="13" t="str">
        <f t="shared" si="3"/>
        <v>rokprognozy=2037 i lp=200</v>
      </c>
      <c r="AC32" s="13" t="str">
        <f t="shared" si="3"/>
        <v>rokprognozy=2038 i lp=200</v>
      </c>
      <c r="AD32" s="13" t="str">
        <f t="shared" si="3"/>
        <v>rokprognozy=2039 i lp=200</v>
      </c>
      <c r="AE32" s="13" t="str">
        <f t="shared" si="3"/>
        <v>rokprognozy=2040 i lp=200</v>
      </c>
      <c r="AF32" s="13" t="str">
        <f t="shared" si="3"/>
        <v>rokprognozy=2041 i lp=200</v>
      </c>
      <c r="AG32" s="13" t="str">
        <f t="shared" si="3"/>
        <v>rokprognozy=2042 i lp=200</v>
      </c>
      <c r="AH32" s="13" t="str">
        <f t="shared" si="3"/>
        <v>rokprognozy=2043 i lp=200</v>
      </c>
    </row>
    <row r="33" spans="1:34" ht="14.25">
      <c r="A33" s="75">
        <v>210</v>
      </c>
      <c r="B33" s="26" t="s">
        <v>112</v>
      </c>
      <c r="C33" s="13" t="s">
        <v>274</v>
      </c>
      <c r="D33" s="13" t="str">
        <f t="shared" si="5"/>
        <v>rokprognozy=2013 i lp=210</v>
      </c>
      <c r="E33" s="13" t="str">
        <f t="shared" si="5"/>
        <v>rokprognozy=2014 i lp=210</v>
      </c>
      <c r="F33" s="13" t="str">
        <f t="shared" si="5"/>
        <v>rokprognozy=2015 i lp=210</v>
      </c>
      <c r="G33" s="13" t="str">
        <f t="shared" si="5"/>
        <v>rokprognozy=2016 i lp=210</v>
      </c>
      <c r="H33" s="13" t="str">
        <f t="shared" si="5"/>
        <v>rokprognozy=2017 i lp=210</v>
      </c>
      <c r="I33" s="13" t="str">
        <f t="shared" si="5"/>
        <v>rokprognozy=2018 i lp=210</v>
      </c>
      <c r="J33" s="13" t="str">
        <f t="shared" si="5"/>
        <v>rokprognozy=2019 i lp=210</v>
      </c>
      <c r="K33" s="13" t="str">
        <f t="shared" si="5"/>
        <v>rokprognozy=2020 i lp=210</v>
      </c>
      <c r="L33" s="13" t="str">
        <f t="shared" si="5"/>
        <v>rokprognozy=2021 i lp=210</v>
      </c>
      <c r="M33" s="13" t="str">
        <f t="shared" si="5"/>
        <v>rokprognozy=2022 i lp=210</v>
      </c>
      <c r="N33" s="13" t="str">
        <f t="shared" si="5"/>
        <v>rokprognozy=2023 i lp=210</v>
      </c>
      <c r="O33" s="13" t="str">
        <f t="shared" si="5"/>
        <v>rokprognozy=2024 i lp=210</v>
      </c>
      <c r="P33" s="13" t="str">
        <f t="shared" si="5"/>
        <v>rokprognozy=2025 i lp=210</v>
      </c>
      <c r="Q33" s="13" t="str">
        <f t="shared" si="5"/>
        <v>rokprognozy=2026 i lp=210</v>
      </c>
      <c r="R33" s="13" t="str">
        <f t="shared" si="5"/>
        <v>rokprognozy=2027 i lp=210</v>
      </c>
      <c r="S33" s="13" t="str">
        <f t="shared" si="5"/>
        <v>rokprognozy=2028 i lp=210</v>
      </c>
      <c r="T33" s="13" t="str">
        <f t="shared" si="3"/>
        <v>rokprognozy=2029 i lp=210</v>
      </c>
      <c r="U33" s="13" t="str">
        <f t="shared" si="3"/>
        <v>rokprognozy=2030 i lp=210</v>
      </c>
      <c r="V33" s="13" t="str">
        <f t="shared" si="3"/>
        <v>rokprognozy=2031 i lp=210</v>
      </c>
      <c r="W33" s="13" t="str">
        <f t="shared" si="3"/>
        <v>rokprognozy=2032 i lp=210</v>
      </c>
      <c r="X33" s="13" t="str">
        <f t="shared" si="3"/>
        <v>rokprognozy=2033 i lp=210</v>
      </c>
      <c r="Y33" s="13" t="str">
        <f t="shared" si="3"/>
        <v>rokprognozy=2034 i lp=210</v>
      </c>
      <c r="Z33" s="13" t="str">
        <f t="shared" si="3"/>
        <v>rokprognozy=2035 i lp=210</v>
      </c>
      <c r="AA33" s="13" t="str">
        <f t="shared" si="3"/>
        <v>rokprognozy=2036 i lp=210</v>
      </c>
      <c r="AB33" s="13" t="str">
        <f t="shared" si="3"/>
        <v>rokprognozy=2037 i lp=210</v>
      </c>
      <c r="AC33" s="13" t="str">
        <f t="shared" si="3"/>
        <v>rokprognozy=2038 i lp=210</v>
      </c>
      <c r="AD33" s="13" t="str">
        <f t="shared" si="3"/>
        <v>rokprognozy=2039 i lp=210</v>
      </c>
      <c r="AE33" s="13" t="str">
        <f t="shared" si="3"/>
        <v>rokprognozy=2040 i lp=210</v>
      </c>
      <c r="AF33" s="13" t="str">
        <f t="shared" si="3"/>
        <v>rokprognozy=2041 i lp=210</v>
      </c>
      <c r="AG33" s="13" t="str">
        <f t="shared" si="3"/>
        <v>rokprognozy=2042 i lp=210</v>
      </c>
      <c r="AH33" s="13" t="str">
        <f t="shared" si="3"/>
        <v>rokprognozy=2043 i lp=210</v>
      </c>
    </row>
    <row r="34" spans="1:34" ht="14.25">
      <c r="A34" s="75">
        <v>220</v>
      </c>
      <c r="B34" s="26" t="s">
        <v>113</v>
      </c>
      <c r="C34" s="13" t="s">
        <v>114</v>
      </c>
      <c r="D34" s="13" t="str">
        <f t="shared" si="5"/>
        <v>rokprognozy=2013 i lp=220</v>
      </c>
      <c r="E34" s="13" t="str">
        <f t="shared" si="5"/>
        <v>rokprognozy=2014 i lp=220</v>
      </c>
      <c r="F34" s="13" t="str">
        <f t="shared" si="5"/>
        <v>rokprognozy=2015 i lp=220</v>
      </c>
      <c r="G34" s="13" t="str">
        <f t="shared" si="5"/>
        <v>rokprognozy=2016 i lp=220</v>
      </c>
      <c r="H34" s="13" t="str">
        <f t="shared" si="5"/>
        <v>rokprognozy=2017 i lp=220</v>
      </c>
      <c r="I34" s="13" t="str">
        <f t="shared" si="5"/>
        <v>rokprognozy=2018 i lp=220</v>
      </c>
      <c r="J34" s="13" t="str">
        <f t="shared" si="5"/>
        <v>rokprognozy=2019 i lp=220</v>
      </c>
      <c r="K34" s="13" t="str">
        <f t="shared" si="5"/>
        <v>rokprognozy=2020 i lp=220</v>
      </c>
      <c r="L34" s="13" t="str">
        <f t="shared" si="5"/>
        <v>rokprognozy=2021 i lp=220</v>
      </c>
      <c r="M34" s="13" t="str">
        <f t="shared" si="5"/>
        <v>rokprognozy=2022 i lp=220</v>
      </c>
      <c r="N34" s="13" t="str">
        <f t="shared" si="5"/>
        <v>rokprognozy=2023 i lp=220</v>
      </c>
      <c r="O34" s="13" t="str">
        <f t="shared" si="5"/>
        <v>rokprognozy=2024 i lp=220</v>
      </c>
      <c r="P34" s="13" t="str">
        <f t="shared" si="5"/>
        <v>rokprognozy=2025 i lp=220</v>
      </c>
      <c r="Q34" s="13" t="str">
        <f t="shared" si="5"/>
        <v>rokprognozy=2026 i lp=220</v>
      </c>
      <c r="R34" s="13" t="str">
        <f t="shared" si="5"/>
        <v>rokprognozy=2027 i lp=220</v>
      </c>
      <c r="S34" s="13" t="str">
        <f t="shared" si="5"/>
        <v>rokprognozy=2028 i lp=220</v>
      </c>
      <c r="T34" s="13" t="str">
        <f t="shared" si="3"/>
        <v>rokprognozy=2029 i lp=220</v>
      </c>
      <c r="U34" s="13" t="str">
        <f t="shared" si="3"/>
        <v>rokprognozy=2030 i lp=220</v>
      </c>
      <c r="V34" s="13" t="str">
        <f t="shared" si="3"/>
        <v>rokprognozy=2031 i lp=220</v>
      </c>
      <c r="W34" s="13" t="str">
        <f t="shared" si="3"/>
        <v>rokprognozy=2032 i lp=220</v>
      </c>
      <c r="X34" s="13" t="str">
        <f t="shared" si="3"/>
        <v>rokprognozy=2033 i lp=220</v>
      </c>
      <c r="Y34" s="13" t="str">
        <f t="shared" si="3"/>
        <v>rokprognozy=2034 i lp=220</v>
      </c>
      <c r="Z34" s="13" t="str">
        <f t="shared" si="3"/>
        <v>rokprognozy=2035 i lp=220</v>
      </c>
      <c r="AA34" s="13" t="str">
        <f t="shared" si="3"/>
        <v>rokprognozy=2036 i lp=220</v>
      </c>
      <c r="AB34" s="13" t="str">
        <f t="shared" si="3"/>
        <v>rokprognozy=2037 i lp=220</v>
      </c>
      <c r="AC34" s="13" t="str">
        <f t="shared" si="3"/>
        <v>rokprognozy=2038 i lp=220</v>
      </c>
      <c r="AD34" s="13" t="str">
        <f t="shared" si="3"/>
        <v>rokprognozy=2039 i lp=220</v>
      </c>
      <c r="AE34" s="13" t="str">
        <f t="shared" si="3"/>
        <v>rokprognozy=2040 i lp=220</v>
      </c>
      <c r="AF34" s="13" t="str">
        <f t="shared" si="3"/>
        <v>rokprognozy=2041 i lp=220</v>
      </c>
      <c r="AG34" s="13" t="str">
        <f t="shared" si="3"/>
        <v>rokprognozy=2042 i lp=220</v>
      </c>
      <c r="AH34" s="13" t="str">
        <f t="shared" si="3"/>
        <v>rokprognozy=2043 i lp=220</v>
      </c>
    </row>
    <row r="35" spans="1:34" ht="14.25">
      <c r="A35" s="75">
        <v>230</v>
      </c>
      <c r="B35" s="26" t="s">
        <v>115</v>
      </c>
      <c r="C35" s="13" t="s">
        <v>275</v>
      </c>
      <c r="D35" s="13" t="str">
        <f t="shared" si="5"/>
        <v>rokprognozy=2013 i lp=230</v>
      </c>
      <c r="E35" s="13" t="str">
        <f t="shared" si="5"/>
        <v>rokprognozy=2014 i lp=230</v>
      </c>
      <c r="F35" s="13" t="str">
        <f t="shared" si="5"/>
        <v>rokprognozy=2015 i lp=230</v>
      </c>
      <c r="G35" s="13" t="str">
        <f t="shared" si="5"/>
        <v>rokprognozy=2016 i lp=230</v>
      </c>
      <c r="H35" s="13" t="str">
        <f t="shared" si="5"/>
        <v>rokprognozy=2017 i lp=230</v>
      </c>
      <c r="I35" s="13" t="str">
        <f t="shared" si="5"/>
        <v>rokprognozy=2018 i lp=230</v>
      </c>
      <c r="J35" s="13" t="str">
        <f t="shared" si="5"/>
        <v>rokprognozy=2019 i lp=230</v>
      </c>
      <c r="K35" s="13" t="str">
        <f t="shared" si="5"/>
        <v>rokprognozy=2020 i lp=230</v>
      </c>
      <c r="L35" s="13" t="str">
        <f t="shared" si="5"/>
        <v>rokprognozy=2021 i lp=230</v>
      </c>
      <c r="M35" s="13" t="str">
        <f t="shared" si="5"/>
        <v>rokprognozy=2022 i lp=230</v>
      </c>
      <c r="N35" s="13" t="str">
        <f t="shared" si="5"/>
        <v>rokprognozy=2023 i lp=230</v>
      </c>
      <c r="O35" s="13" t="str">
        <f t="shared" si="5"/>
        <v>rokprognozy=2024 i lp=230</v>
      </c>
      <c r="P35" s="13" t="str">
        <f t="shared" si="5"/>
        <v>rokprognozy=2025 i lp=230</v>
      </c>
      <c r="Q35" s="13" t="str">
        <f t="shared" si="5"/>
        <v>rokprognozy=2026 i lp=230</v>
      </c>
      <c r="R35" s="13" t="str">
        <f t="shared" si="5"/>
        <v>rokprognozy=2027 i lp=230</v>
      </c>
      <c r="S35" s="13" t="str">
        <f t="shared" si="5"/>
        <v>rokprognozy=2028 i lp=230</v>
      </c>
      <c r="T35" s="13" t="str">
        <f t="shared" si="3"/>
        <v>rokprognozy=2029 i lp=230</v>
      </c>
      <c r="U35" s="13" t="str">
        <f t="shared" si="3"/>
        <v>rokprognozy=2030 i lp=230</v>
      </c>
      <c r="V35" s="13" t="str">
        <f t="shared" si="3"/>
        <v>rokprognozy=2031 i lp=230</v>
      </c>
      <c r="W35" s="13" t="str">
        <f t="shared" si="3"/>
        <v>rokprognozy=2032 i lp=230</v>
      </c>
      <c r="X35" s="13" t="str">
        <f t="shared" si="3"/>
        <v>rokprognozy=2033 i lp=230</v>
      </c>
      <c r="Y35" s="13" t="str">
        <f t="shared" si="3"/>
        <v>rokprognozy=2034 i lp=230</v>
      </c>
      <c r="Z35" s="13" t="str">
        <f t="shared" si="3"/>
        <v>rokprognozy=2035 i lp=230</v>
      </c>
      <c r="AA35" s="13" t="str">
        <f t="shared" si="3"/>
        <v>rokprognozy=2036 i lp=230</v>
      </c>
      <c r="AB35" s="13" t="str">
        <f t="shared" si="3"/>
        <v>rokprognozy=2037 i lp=230</v>
      </c>
      <c r="AC35" s="13" t="str">
        <f t="shared" si="3"/>
        <v>rokprognozy=2038 i lp=230</v>
      </c>
      <c r="AD35" s="13" t="str">
        <f t="shared" si="3"/>
        <v>rokprognozy=2039 i lp=230</v>
      </c>
      <c r="AE35" s="13" t="str">
        <f t="shared" si="3"/>
        <v>rokprognozy=2040 i lp=230</v>
      </c>
      <c r="AF35" s="13" t="str">
        <f t="shared" si="3"/>
        <v>rokprognozy=2041 i lp=230</v>
      </c>
      <c r="AG35" s="13" t="str">
        <f t="shared" si="3"/>
        <v>rokprognozy=2042 i lp=230</v>
      </c>
      <c r="AH35" s="13" t="str">
        <f t="shared" si="3"/>
        <v>rokprognozy=2043 i lp=230</v>
      </c>
    </row>
    <row r="36" spans="1:34" ht="14.25">
      <c r="A36" s="75">
        <v>240</v>
      </c>
      <c r="B36" s="26" t="s">
        <v>116</v>
      </c>
      <c r="C36" s="13" t="s">
        <v>276</v>
      </c>
      <c r="D36" s="13" t="str">
        <f t="shared" si="5"/>
        <v>rokprognozy=2013 i lp=240</v>
      </c>
      <c r="E36" s="13" t="str">
        <f t="shared" si="5"/>
        <v>rokprognozy=2014 i lp=240</v>
      </c>
      <c r="F36" s="13" t="str">
        <f t="shared" si="5"/>
        <v>rokprognozy=2015 i lp=240</v>
      </c>
      <c r="G36" s="13" t="str">
        <f t="shared" si="5"/>
        <v>rokprognozy=2016 i lp=240</v>
      </c>
      <c r="H36" s="13" t="str">
        <f t="shared" si="5"/>
        <v>rokprognozy=2017 i lp=240</v>
      </c>
      <c r="I36" s="13" t="str">
        <f t="shared" si="5"/>
        <v>rokprognozy=2018 i lp=240</v>
      </c>
      <c r="J36" s="13" t="str">
        <f t="shared" si="5"/>
        <v>rokprognozy=2019 i lp=240</v>
      </c>
      <c r="K36" s="13" t="str">
        <f t="shared" si="5"/>
        <v>rokprognozy=2020 i lp=240</v>
      </c>
      <c r="L36" s="13" t="str">
        <f t="shared" si="5"/>
        <v>rokprognozy=2021 i lp=240</v>
      </c>
      <c r="M36" s="13" t="str">
        <f t="shared" si="5"/>
        <v>rokprognozy=2022 i lp=240</v>
      </c>
      <c r="N36" s="13" t="str">
        <f t="shared" si="5"/>
        <v>rokprognozy=2023 i lp=240</v>
      </c>
      <c r="O36" s="13" t="str">
        <f t="shared" si="5"/>
        <v>rokprognozy=2024 i lp=240</v>
      </c>
      <c r="P36" s="13" t="str">
        <f t="shared" si="5"/>
        <v>rokprognozy=2025 i lp=240</v>
      </c>
      <c r="Q36" s="13" t="str">
        <f t="shared" si="5"/>
        <v>rokprognozy=2026 i lp=240</v>
      </c>
      <c r="R36" s="13" t="str">
        <f t="shared" si="5"/>
        <v>rokprognozy=2027 i lp=240</v>
      </c>
      <c r="S36" s="13" t="str">
        <f t="shared" si="5"/>
        <v>rokprognozy=2028 i lp=240</v>
      </c>
      <c r="T36" s="13" t="str">
        <f t="shared" si="3"/>
        <v>rokprognozy=2029 i lp=240</v>
      </c>
      <c r="U36" s="13" t="str">
        <f t="shared" si="3"/>
        <v>rokprognozy=2030 i lp=240</v>
      </c>
      <c r="V36" s="13" t="str">
        <f t="shared" si="3"/>
        <v>rokprognozy=2031 i lp=240</v>
      </c>
      <c r="W36" s="13" t="str">
        <f t="shared" si="3"/>
        <v>rokprognozy=2032 i lp=240</v>
      </c>
      <c r="X36" s="13" t="str">
        <f t="shared" si="3"/>
        <v>rokprognozy=2033 i lp=240</v>
      </c>
      <c r="Y36" s="13" t="str">
        <f t="shared" si="3"/>
        <v>rokprognozy=2034 i lp=240</v>
      </c>
      <c r="Z36" s="13" t="str">
        <f t="shared" si="3"/>
        <v>rokprognozy=2035 i lp=240</v>
      </c>
      <c r="AA36" s="13" t="str">
        <f t="shared" si="3"/>
        <v>rokprognozy=2036 i lp=240</v>
      </c>
      <c r="AB36" s="13" t="str">
        <f t="shared" si="3"/>
        <v>rokprognozy=2037 i lp=240</v>
      </c>
      <c r="AC36" s="13" t="str">
        <f t="shared" si="3"/>
        <v>rokprognozy=2038 i lp=240</v>
      </c>
      <c r="AD36" s="13" t="str">
        <f t="shared" si="3"/>
        <v>rokprognozy=2039 i lp=240</v>
      </c>
      <c r="AE36" s="13" t="str">
        <f t="shared" si="3"/>
        <v>rokprognozy=2040 i lp=240</v>
      </c>
      <c r="AF36" s="13" t="str">
        <f t="shared" si="3"/>
        <v>rokprognozy=2041 i lp=240</v>
      </c>
      <c r="AG36" s="13" t="str">
        <f t="shared" si="3"/>
        <v>rokprognozy=2042 i lp=240</v>
      </c>
      <c r="AH36" s="13" t="str">
        <f t="shared" si="3"/>
        <v>rokprognozy=2043 i lp=240</v>
      </c>
    </row>
    <row r="37" spans="1:34" ht="14.25">
      <c r="A37" s="75">
        <v>250</v>
      </c>
      <c r="B37" s="233" t="s">
        <v>332</v>
      </c>
      <c r="C37" s="13" t="s">
        <v>117</v>
      </c>
      <c r="D37" s="13" t="str">
        <f t="shared" si="5"/>
        <v>rokprognozy=2013 i lp=250</v>
      </c>
      <c r="E37" s="13" t="str">
        <f t="shared" si="5"/>
        <v>rokprognozy=2014 i lp=250</v>
      </c>
      <c r="F37" s="13" t="str">
        <f t="shared" si="5"/>
        <v>rokprognozy=2015 i lp=250</v>
      </c>
      <c r="G37" s="13" t="str">
        <f t="shared" si="5"/>
        <v>rokprognozy=2016 i lp=250</v>
      </c>
      <c r="H37" s="13" t="str">
        <f t="shared" si="5"/>
        <v>rokprognozy=2017 i lp=250</v>
      </c>
      <c r="I37" s="13" t="str">
        <f t="shared" si="5"/>
        <v>rokprognozy=2018 i lp=250</v>
      </c>
      <c r="J37" s="13" t="str">
        <f t="shared" si="5"/>
        <v>rokprognozy=2019 i lp=250</v>
      </c>
      <c r="K37" s="13" t="str">
        <f t="shared" si="5"/>
        <v>rokprognozy=2020 i lp=250</v>
      </c>
      <c r="L37" s="13" t="str">
        <f t="shared" si="5"/>
        <v>rokprognozy=2021 i lp=250</v>
      </c>
      <c r="M37" s="13" t="str">
        <f t="shared" si="5"/>
        <v>rokprognozy=2022 i lp=250</v>
      </c>
      <c r="N37" s="13" t="str">
        <f t="shared" si="5"/>
        <v>rokprognozy=2023 i lp=250</v>
      </c>
      <c r="O37" s="13" t="str">
        <f t="shared" si="5"/>
        <v>rokprognozy=2024 i lp=250</v>
      </c>
      <c r="P37" s="13" t="str">
        <f t="shared" si="5"/>
        <v>rokprognozy=2025 i lp=250</v>
      </c>
      <c r="Q37" s="13" t="str">
        <f t="shared" si="5"/>
        <v>rokprognozy=2026 i lp=250</v>
      </c>
      <c r="R37" s="13" t="str">
        <f t="shared" si="5"/>
        <v>rokprognozy=2027 i lp=250</v>
      </c>
      <c r="S37" s="13" t="str">
        <f t="shared" si="5"/>
        <v>rokprognozy=2028 i lp=250</v>
      </c>
      <c r="T37" s="13" t="str">
        <f t="shared" si="3"/>
        <v>rokprognozy=2029 i lp=250</v>
      </c>
      <c r="U37" s="13" t="str">
        <f t="shared" si="3"/>
        <v>rokprognozy=2030 i lp=250</v>
      </c>
      <c r="V37" s="13" t="str">
        <f t="shared" si="3"/>
        <v>rokprognozy=2031 i lp=250</v>
      </c>
      <c r="W37" s="13" t="str">
        <f t="shared" si="3"/>
        <v>rokprognozy=2032 i lp=250</v>
      </c>
      <c r="X37" s="13" t="str">
        <f t="shared" si="3"/>
        <v>rokprognozy=2033 i lp=250</v>
      </c>
      <c r="Y37" s="13" t="str">
        <f t="shared" si="3"/>
        <v>rokprognozy=2034 i lp=250</v>
      </c>
      <c r="Z37" s="13" t="str">
        <f t="shared" si="3"/>
        <v>rokprognozy=2035 i lp=250</v>
      </c>
      <c r="AA37" s="13" t="str">
        <f t="shared" si="3"/>
        <v>rokprognozy=2036 i lp=250</v>
      </c>
      <c r="AB37" s="13" t="str">
        <f t="shared" si="3"/>
        <v>rokprognozy=2037 i lp=250</v>
      </c>
      <c r="AC37" s="13" t="str">
        <f t="shared" si="3"/>
        <v>rokprognozy=2038 i lp=250</v>
      </c>
      <c r="AD37" s="13" t="str">
        <f t="shared" si="3"/>
        <v>rokprognozy=2039 i lp=250</v>
      </c>
      <c r="AE37" s="13" t="str">
        <f t="shared" si="3"/>
        <v>rokprognozy=2040 i lp=250</v>
      </c>
      <c r="AF37" s="13" t="str">
        <f t="shared" si="3"/>
        <v>rokprognozy=2041 i lp=250</v>
      </c>
      <c r="AG37" s="13" t="str">
        <f t="shared" si="3"/>
        <v>rokprognozy=2042 i lp=250</v>
      </c>
      <c r="AH37" s="13" t="str">
        <f t="shared" si="3"/>
        <v>rokprognozy=2043 i lp=250</v>
      </c>
    </row>
    <row r="38" spans="1:34" ht="14.25">
      <c r="A38" s="75">
        <v>260</v>
      </c>
      <c r="B38" s="233" t="s">
        <v>333</v>
      </c>
      <c r="C38" s="13" t="s">
        <v>118</v>
      </c>
      <c r="D38" s="13" t="str">
        <f t="shared" si="5"/>
        <v>rokprognozy=2013 i lp=260</v>
      </c>
      <c r="E38" s="13" t="str">
        <f t="shared" si="5"/>
        <v>rokprognozy=2014 i lp=260</v>
      </c>
      <c r="F38" s="13" t="str">
        <f t="shared" si="5"/>
        <v>rokprognozy=2015 i lp=260</v>
      </c>
      <c r="G38" s="13" t="str">
        <f t="shared" si="5"/>
        <v>rokprognozy=2016 i lp=260</v>
      </c>
      <c r="H38" s="13" t="str">
        <f t="shared" si="5"/>
        <v>rokprognozy=2017 i lp=260</v>
      </c>
      <c r="I38" s="13" t="str">
        <f t="shared" si="5"/>
        <v>rokprognozy=2018 i lp=260</v>
      </c>
      <c r="J38" s="13" t="str">
        <f t="shared" si="5"/>
        <v>rokprognozy=2019 i lp=260</v>
      </c>
      <c r="K38" s="13" t="str">
        <f t="shared" si="5"/>
        <v>rokprognozy=2020 i lp=260</v>
      </c>
      <c r="L38" s="13" t="str">
        <f t="shared" si="5"/>
        <v>rokprognozy=2021 i lp=260</v>
      </c>
      <c r="M38" s="13" t="str">
        <f t="shared" si="5"/>
        <v>rokprognozy=2022 i lp=260</v>
      </c>
      <c r="N38" s="13" t="str">
        <f t="shared" si="5"/>
        <v>rokprognozy=2023 i lp=260</v>
      </c>
      <c r="O38" s="13" t="str">
        <f t="shared" si="5"/>
        <v>rokprognozy=2024 i lp=260</v>
      </c>
      <c r="P38" s="13" t="str">
        <f t="shared" si="5"/>
        <v>rokprognozy=2025 i lp=260</v>
      </c>
      <c r="Q38" s="13" t="str">
        <f t="shared" si="5"/>
        <v>rokprognozy=2026 i lp=260</v>
      </c>
      <c r="R38" s="13" t="str">
        <f t="shared" si="5"/>
        <v>rokprognozy=2027 i lp=260</v>
      </c>
      <c r="S38" s="13" t="str">
        <f t="shared" si="5"/>
        <v>rokprognozy=2028 i lp=260</v>
      </c>
      <c r="T38" s="13" t="str">
        <f aca="true" t="shared" si="6" ref="T38:AH53">+"rokprognozy="&amp;T$6&amp;" i lp="&amp;$A38</f>
        <v>rokprognozy=2029 i lp=260</v>
      </c>
      <c r="U38" s="13" t="str">
        <f t="shared" si="6"/>
        <v>rokprognozy=2030 i lp=260</v>
      </c>
      <c r="V38" s="13" t="str">
        <f t="shared" si="6"/>
        <v>rokprognozy=2031 i lp=260</v>
      </c>
      <c r="W38" s="13" t="str">
        <f t="shared" si="6"/>
        <v>rokprognozy=2032 i lp=260</v>
      </c>
      <c r="X38" s="13" t="str">
        <f t="shared" si="6"/>
        <v>rokprognozy=2033 i lp=260</v>
      </c>
      <c r="Y38" s="13" t="str">
        <f t="shared" si="6"/>
        <v>rokprognozy=2034 i lp=260</v>
      </c>
      <c r="Z38" s="13" t="str">
        <f t="shared" si="6"/>
        <v>rokprognozy=2035 i lp=260</v>
      </c>
      <c r="AA38" s="13" t="str">
        <f t="shared" si="6"/>
        <v>rokprognozy=2036 i lp=260</v>
      </c>
      <c r="AB38" s="13" t="str">
        <f t="shared" si="6"/>
        <v>rokprognozy=2037 i lp=260</v>
      </c>
      <c r="AC38" s="13" t="str">
        <f t="shared" si="6"/>
        <v>rokprognozy=2038 i lp=260</v>
      </c>
      <c r="AD38" s="13" t="str">
        <f t="shared" si="6"/>
        <v>rokprognozy=2039 i lp=260</v>
      </c>
      <c r="AE38" s="13" t="str">
        <f t="shared" si="6"/>
        <v>rokprognozy=2040 i lp=260</v>
      </c>
      <c r="AF38" s="13" t="str">
        <f t="shared" si="6"/>
        <v>rokprognozy=2041 i lp=260</v>
      </c>
      <c r="AG38" s="13" t="str">
        <f t="shared" si="6"/>
        <v>rokprognozy=2042 i lp=260</v>
      </c>
      <c r="AH38" s="13" t="str">
        <f t="shared" si="6"/>
        <v>rokprognozy=2043 i lp=260</v>
      </c>
    </row>
    <row r="39" spans="1:34" ht="14.25">
      <c r="A39" s="75">
        <v>270</v>
      </c>
      <c r="B39" s="233" t="s">
        <v>334</v>
      </c>
      <c r="C39" s="13" t="s">
        <v>17</v>
      </c>
      <c r="D39" s="13" t="str">
        <f t="shared" si="5"/>
        <v>rokprognozy=2013 i lp=270</v>
      </c>
      <c r="E39" s="13" t="str">
        <f t="shared" si="5"/>
        <v>rokprognozy=2014 i lp=270</v>
      </c>
      <c r="F39" s="13" t="str">
        <f t="shared" si="5"/>
        <v>rokprognozy=2015 i lp=270</v>
      </c>
      <c r="G39" s="13" t="str">
        <f t="shared" si="5"/>
        <v>rokprognozy=2016 i lp=270</v>
      </c>
      <c r="H39" s="13" t="str">
        <f t="shared" si="5"/>
        <v>rokprognozy=2017 i lp=270</v>
      </c>
      <c r="I39" s="13" t="str">
        <f t="shared" si="5"/>
        <v>rokprognozy=2018 i lp=270</v>
      </c>
      <c r="J39" s="13" t="str">
        <f t="shared" si="5"/>
        <v>rokprognozy=2019 i lp=270</v>
      </c>
      <c r="K39" s="13" t="str">
        <f t="shared" si="5"/>
        <v>rokprognozy=2020 i lp=270</v>
      </c>
      <c r="L39" s="13" t="str">
        <f t="shared" si="5"/>
        <v>rokprognozy=2021 i lp=270</v>
      </c>
      <c r="M39" s="13" t="str">
        <f t="shared" si="5"/>
        <v>rokprognozy=2022 i lp=270</v>
      </c>
      <c r="N39" s="13" t="str">
        <f t="shared" si="5"/>
        <v>rokprognozy=2023 i lp=270</v>
      </c>
      <c r="O39" s="13" t="str">
        <f t="shared" si="5"/>
        <v>rokprognozy=2024 i lp=270</v>
      </c>
      <c r="P39" s="13" t="str">
        <f t="shared" si="5"/>
        <v>rokprognozy=2025 i lp=270</v>
      </c>
      <c r="Q39" s="13" t="str">
        <f t="shared" si="5"/>
        <v>rokprognozy=2026 i lp=270</v>
      </c>
      <c r="R39" s="13" t="str">
        <f t="shared" si="5"/>
        <v>rokprognozy=2027 i lp=270</v>
      </c>
      <c r="S39" s="13" t="str">
        <f aca="true" t="shared" si="7" ref="S39:S54">+"rokprognozy="&amp;S$6&amp;" i lp="&amp;$A39</f>
        <v>rokprognozy=2028 i lp=270</v>
      </c>
      <c r="T39" s="13" t="str">
        <f t="shared" si="6"/>
        <v>rokprognozy=2029 i lp=270</v>
      </c>
      <c r="U39" s="13" t="str">
        <f t="shared" si="6"/>
        <v>rokprognozy=2030 i lp=270</v>
      </c>
      <c r="V39" s="13" t="str">
        <f t="shared" si="6"/>
        <v>rokprognozy=2031 i lp=270</v>
      </c>
      <c r="W39" s="13" t="str">
        <f t="shared" si="6"/>
        <v>rokprognozy=2032 i lp=270</v>
      </c>
      <c r="X39" s="13" t="str">
        <f t="shared" si="6"/>
        <v>rokprognozy=2033 i lp=270</v>
      </c>
      <c r="Y39" s="13" t="str">
        <f t="shared" si="6"/>
        <v>rokprognozy=2034 i lp=270</v>
      </c>
      <c r="Z39" s="13" t="str">
        <f t="shared" si="6"/>
        <v>rokprognozy=2035 i lp=270</v>
      </c>
      <c r="AA39" s="13" t="str">
        <f t="shared" si="6"/>
        <v>rokprognozy=2036 i lp=270</v>
      </c>
      <c r="AB39" s="13" t="str">
        <f t="shared" si="6"/>
        <v>rokprognozy=2037 i lp=270</v>
      </c>
      <c r="AC39" s="13" t="str">
        <f t="shared" si="6"/>
        <v>rokprognozy=2038 i lp=270</v>
      </c>
      <c r="AD39" s="13" t="str">
        <f t="shared" si="6"/>
        <v>rokprognozy=2039 i lp=270</v>
      </c>
      <c r="AE39" s="13" t="str">
        <f t="shared" si="6"/>
        <v>rokprognozy=2040 i lp=270</v>
      </c>
      <c r="AF39" s="13" t="str">
        <f t="shared" si="6"/>
        <v>rokprognozy=2041 i lp=270</v>
      </c>
      <c r="AG39" s="13" t="str">
        <f t="shared" si="6"/>
        <v>rokprognozy=2042 i lp=270</v>
      </c>
      <c r="AH39" s="13" t="str">
        <f t="shared" si="6"/>
        <v>rokprognozy=2043 i lp=270</v>
      </c>
    </row>
    <row r="40" spans="1:34" ht="14.25">
      <c r="A40" s="75">
        <v>280</v>
      </c>
      <c r="B40" s="26" t="s">
        <v>119</v>
      </c>
      <c r="C40" s="13" t="s">
        <v>120</v>
      </c>
      <c r="D40" s="13" t="str">
        <f aca="true" t="shared" si="8" ref="D40:S55">+"rokprognozy="&amp;D$6&amp;" i lp="&amp;$A40</f>
        <v>rokprognozy=2013 i lp=280</v>
      </c>
      <c r="E40" s="13" t="str">
        <f t="shared" si="8"/>
        <v>rokprognozy=2014 i lp=280</v>
      </c>
      <c r="F40" s="13" t="str">
        <f t="shared" si="8"/>
        <v>rokprognozy=2015 i lp=280</v>
      </c>
      <c r="G40" s="13" t="str">
        <f t="shared" si="8"/>
        <v>rokprognozy=2016 i lp=280</v>
      </c>
      <c r="H40" s="13" t="str">
        <f t="shared" si="8"/>
        <v>rokprognozy=2017 i lp=280</v>
      </c>
      <c r="I40" s="13" t="str">
        <f t="shared" si="8"/>
        <v>rokprognozy=2018 i lp=280</v>
      </c>
      <c r="J40" s="13" t="str">
        <f t="shared" si="8"/>
        <v>rokprognozy=2019 i lp=280</v>
      </c>
      <c r="K40" s="13" t="str">
        <f t="shared" si="8"/>
        <v>rokprognozy=2020 i lp=280</v>
      </c>
      <c r="L40" s="13" t="str">
        <f t="shared" si="8"/>
        <v>rokprognozy=2021 i lp=280</v>
      </c>
      <c r="M40" s="13" t="str">
        <f t="shared" si="8"/>
        <v>rokprognozy=2022 i lp=280</v>
      </c>
      <c r="N40" s="13" t="str">
        <f t="shared" si="8"/>
        <v>rokprognozy=2023 i lp=280</v>
      </c>
      <c r="O40" s="13" t="str">
        <f t="shared" si="8"/>
        <v>rokprognozy=2024 i lp=280</v>
      </c>
      <c r="P40" s="13" t="str">
        <f t="shared" si="8"/>
        <v>rokprognozy=2025 i lp=280</v>
      </c>
      <c r="Q40" s="13" t="str">
        <f t="shared" si="8"/>
        <v>rokprognozy=2026 i lp=280</v>
      </c>
      <c r="R40" s="13" t="str">
        <f t="shared" si="8"/>
        <v>rokprognozy=2027 i lp=280</v>
      </c>
      <c r="S40" s="13" t="str">
        <f t="shared" si="7"/>
        <v>rokprognozy=2028 i lp=280</v>
      </c>
      <c r="T40" s="13" t="str">
        <f t="shared" si="6"/>
        <v>rokprognozy=2029 i lp=280</v>
      </c>
      <c r="U40" s="13" t="str">
        <f t="shared" si="6"/>
        <v>rokprognozy=2030 i lp=280</v>
      </c>
      <c r="V40" s="13" t="str">
        <f t="shared" si="6"/>
        <v>rokprognozy=2031 i lp=280</v>
      </c>
      <c r="W40" s="13" t="str">
        <f t="shared" si="6"/>
        <v>rokprognozy=2032 i lp=280</v>
      </c>
      <c r="X40" s="13" t="str">
        <f t="shared" si="6"/>
        <v>rokprognozy=2033 i lp=280</v>
      </c>
      <c r="Y40" s="13" t="str">
        <f t="shared" si="6"/>
        <v>rokprognozy=2034 i lp=280</v>
      </c>
      <c r="Z40" s="13" t="str">
        <f t="shared" si="6"/>
        <v>rokprognozy=2035 i lp=280</v>
      </c>
      <c r="AA40" s="13" t="str">
        <f t="shared" si="6"/>
        <v>rokprognozy=2036 i lp=280</v>
      </c>
      <c r="AB40" s="13" t="str">
        <f t="shared" si="6"/>
        <v>rokprognozy=2037 i lp=280</v>
      </c>
      <c r="AC40" s="13" t="str">
        <f t="shared" si="6"/>
        <v>rokprognozy=2038 i lp=280</v>
      </c>
      <c r="AD40" s="13" t="str">
        <f t="shared" si="6"/>
        <v>rokprognozy=2039 i lp=280</v>
      </c>
      <c r="AE40" s="13" t="str">
        <f t="shared" si="6"/>
        <v>rokprognozy=2040 i lp=280</v>
      </c>
      <c r="AF40" s="13" t="str">
        <f t="shared" si="6"/>
        <v>rokprognozy=2041 i lp=280</v>
      </c>
      <c r="AG40" s="13" t="str">
        <f t="shared" si="6"/>
        <v>rokprognozy=2042 i lp=280</v>
      </c>
      <c r="AH40" s="13" t="str">
        <f t="shared" si="6"/>
        <v>rokprognozy=2043 i lp=280</v>
      </c>
    </row>
    <row r="41" spans="1:34" ht="14.25">
      <c r="A41" s="75">
        <v>290</v>
      </c>
      <c r="B41" s="26" t="s">
        <v>121</v>
      </c>
      <c r="C41" s="13" t="s">
        <v>271</v>
      </c>
      <c r="D41" s="13" t="str">
        <f t="shared" si="8"/>
        <v>rokprognozy=2013 i lp=290</v>
      </c>
      <c r="E41" s="13" t="str">
        <f t="shared" si="8"/>
        <v>rokprognozy=2014 i lp=290</v>
      </c>
      <c r="F41" s="13" t="str">
        <f t="shared" si="8"/>
        <v>rokprognozy=2015 i lp=290</v>
      </c>
      <c r="G41" s="13" t="str">
        <f t="shared" si="8"/>
        <v>rokprognozy=2016 i lp=290</v>
      </c>
      <c r="H41" s="13" t="str">
        <f t="shared" si="8"/>
        <v>rokprognozy=2017 i lp=290</v>
      </c>
      <c r="I41" s="13" t="str">
        <f t="shared" si="8"/>
        <v>rokprognozy=2018 i lp=290</v>
      </c>
      <c r="J41" s="13" t="str">
        <f t="shared" si="8"/>
        <v>rokprognozy=2019 i lp=290</v>
      </c>
      <c r="K41" s="13" t="str">
        <f t="shared" si="8"/>
        <v>rokprognozy=2020 i lp=290</v>
      </c>
      <c r="L41" s="13" t="str">
        <f t="shared" si="8"/>
        <v>rokprognozy=2021 i lp=290</v>
      </c>
      <c r="M41" s="13" t="str">
        <f t="shared" si="8"/>
        <v>rokprognozy=2022 i lp=290</v>
      </c>
      <c r="N41" s="13" t="str">
        <f t="shared" si="8"/>
        <v>rokprognozy=2023 i lp=290</v>
      </c>
      <c r="O41" s="13" t="str">
        <f t="shared" si="8"/>
        <v>rokprognozy=2024 i lp=290</v>
      </c>
      <c r="P41" s="13" t="str">
        <f t="shared" si="8"/>
        <v>rokprognozy=2025 i lp=290</v>
      </c>
      <c r="Q41" s="13" t="str">
        <f t="shared" si="8"/>
        <v>rokprognozy=2026 i lp=290</v>
      </c>
      <c r="R41" s="13" t="str">
        <f t="shared" si="8"/>
        <v>rokprognozy=2027 i lp=290</v>
      </c>
      <c r="S41" s="13" t="str">
        <f t="shared" si="7"/>
        <v>rokprognozy=2028 i lp=290</v>
      </c>
      <c r="T41" s="13" t="str">
        <f t="shared" si="6"/>
        <v>rokprognozy=2029 i lp=290</v>
      </c>
      <c r="U41" s="13" t="str">
        <f t="shared" si="6"/>
        <v>rokprognozy=2030 i lp=290</v>
      </c>
      <c r="V41" s="13" t="str">
        <f t="shared" si="6"/>
        <v>rokprognozy=2031 i lp=290</v>
      </c>
      <c r="W41" s="13" t="str">
        <f t="shared" si="6"/>
        <v>rokprognozy=2032 i lp=290</v>
      </c>
      <c r="X41" s="13" t="str">
        <f t="shared" si="6"/>
        <v>rokprognozy=2033 i lp=290</v>
      </c>
      <c r="Y41" s="13" t="str">
        <f t="shared" si="6"/>
        <v>rokprognozy=2034 i lp=290</v>
      </c>
      <c r="Z41" s="13" t="str">
        <f t="shared" si="6"/>
        <v>rokprognozy=2035 i lp=290</v>
      </c>
      <c r="AA41" s="13" t="str">
        <f t="shared" si="6"/>
        <v>rokprognozy=2036 i lp=290</v>
      </c>
      <c r="AB41" s="13" t="str">
        <f t="shared" si="6"/>
        <v>rokprognozy=2037 i lp=290</v>
      </c>
      <c r="AC41" s="13" t="str">
        <f t="shared" si="6"/>
        <v>rokprognozy=2038 i lp=290</v>
      </c>
      <c r="AD41" s="13" t="str">
        <f t="shared" si="6"/>
        <v>rokprognozy=2039 i lp=290</v>
      </c>
      <c r="AE41" s="13" t="str">
        <f t="shared" si="6"/>
        <v>rokprognozy=2040 i lp=290</v>
      </c>
      <c r="AF41" s="13" t="str">
        <f t="shared" si="6"/>
        <v>rokprognozy=2041 i lp=290</v>
      </c>
      <c r="AG41" s="13" t="str">
        <f t="shared" si="6"/>
        <v>rokprognozy=2042 i lp=290</v>
      </c>
      <c r="AH41" s="13" t="str">
        <f t="shared" si="6"/>
        <v>rokprognozy=2043 i lp=290</v>
      </c>
    </row>
    <row r="42" spans="1:34" ht="14.25">
      <c r="A42" s="75">
        <v>295</v>
      </c>
      <c r="B42" s="26" t="s">
        <v>257</v>
      </c>
      <c r="C42" s="13" t="s">
        <v>251</v>
      </c>
      <c r="D42" s="13" t="str">
        <f t="shared" si="8"/>
        <v>rokprognozy=2013 i lp=295</v>
      </c>
      <c r="E42" s="13" t="str">
        <f t="shared" si="8"/>
        <v>rokprognozy=2014 i lp=295</v>
      </c>
      <c r="F42" s="13" t="str">
        <f t="shared" si="8"/>
        <v>rokprognozy=2015 i lp=295</v>
      </c>
      <c r="G42" s="13" t="str">
        <f t="shared" si="8"/>
        <v>rokprognozy=2016 i lp=295</v>
      </c>
      <c r="H42" s="13" t="str">
        <f t="shared" si="8"/>
        <v>rokprognozy=2017 i lp=295</v>
      </c>
      <c r="I42" s="13" t="str">
        <f t="shared" si="8"/>
        <v>rokprognozy=2018 i lp=295</v>
      </c>
      <c r="J42" s="13" t="str">
        <f t="shared" si="8"/>
        <v>rokprognozy=2019 i lp=295</v>
      </c>
      <c r="K42" s="13" t="str">
        <f t="shared" si="8"/>
        <v>rokprognozy=2020 i lp=295</v>
      </c>
      <c r="L42" s="13" t="str">
        <f t="shared" si="8"/>
        <v>rokprognozy=2021 i lp=295</v>
      </c>
      <c r="M42" s="13" t="str">
        <f t="shared" si="8"/>
        <v>rokprognozy=2022 i lp=295</v>
      </c>
      <c r="N42" s="13" t="str">
        <f t="shared" si="8"/>
        <v>rokprognozy=2023 i lp=295</v>
      </c>
      <c r="O42" s="13" t="str">
        <f t="shared" si="8"/>
        <v>rokprognozy=2024 i lp=295</v>
      </c>
      <c r="P42" s="13" t="str">
        <f t="shared" si="8"/>
        <v>rokprognozy=2025 i lp=295</v>
      </c>
      <c r="Q42" s="13" t="str">
        <f t="shared" si="8"/>
        <v>rokprognozy=2026 i lp=295</v>
      </c>
      <c r="R42" s="13" t="str">
        <f t="shared" si="8"/>
        <v>rokprognozy=2027 i lp=295</v>
      </c>
      <c r="S42" s="13" t="str">
        <f t="shared" si="7"/>
        <v>rokprognozy=2028 i lp=295</v>
      </c>
      <c r="T42" s="13" t="str">
        <f t="shared" si="6"/>
        <v>rokprognozy=2029 i lp=295</v>
      </c>
      <c r="U42" s="13" t="str">
        <f t="shared" si="6"/>
        <v>rokprognozy=2030 i lp=295</v>
      </c>
      <c r="V42" s="13" t="str">
        <f t="shared" si="6"/>
        <v>rokprognozy=2031 i lp=295</v>
      </c>
      <c r="W42" s="13" t="str">
        <f t="shared" si="6"/>
        <v>rokprognozy=2032 i lp=295</v>
      </c>
      <c r="X42" s="13" t="str">
        <f t="shared" si="6"/>
        <v>rokprognozy=2033 i lp=295</v>
      </c>
      <c r="Y42" s="13" t="str">
        <f t="shared" si="6"/>
        <v>rokprognozy=2034 i lp=295</v>
      </c>
      <c r="Z42" s="13" t="str">
        <f t="shared" si="6"/>
        <v>rokprognozy=2035 i lp=295</v>
      </c>
      <c r="AA42" s="13" t="str">
        <f t="shared" si="6"/>
        <v>rokprognozy=2036 i lp=295</v>
      </c>
      <c r="AB42" s="13" t="str">
        <f t="shared" si="6"/>
        <v>rokprognozy=2037 i lp=295</v>
      </c>
      <c r="AC42" s="13" t="str">
        <f t="shared" si="6"/>
        <v>rokprognozy=2038 i lp=295</v>
      </c>
      <c r="AD42" s="13" t="str">
        <f t="shared" si="6"/>
        <v>rokprognozy=2039 i lp=295</v>
      </c>
      <c r="AE42" s="13" t="str">
        <f t="shared" si="6"/>
        <v>rokprognozy=2040 i lp=295</v>
      </c>
      <c r="AF42" s="13" t="str">
        <f t="shared" si="6"/>
        <v>rokprognozy=2041 i lp=295</v>
      </c>
      <c r="AG42" s="13" t="str">
        <f t="shared" si="6"/>
        <v>rokprognozy=2042 i lp=295</v>
      </c>
      <c r="AH42" s="13" t="str">
        <f t="shared" si="6"/>
        <v>rokprognozy=2043 i lp=295</v>
      </c>
    </row>
    <row r="43" spans="1:34" ht="14.25">
      <c r="A43" s="75">
        <v>300</v>
      </c>
      <c r="B43" s="233" t="s">
        <v>335</v>
      </c>
      <c r="C43" s="13" t="s">
        <v>62</v>
      </c>
      <c r="D43" s="13" t="str">
        <f t="shared" si="8"/>
        <v>rokprognozy=2013 i lp=300</v>
      </c>
      <c r="E43" s="13" t="str">
        <f t="shared" si="8"/>
        <v>rokprognozy=2014 i lp=300</v>
      </c>
      <c r="F43" s="13" t="str">
        <f t="shared" si="8"/>
        <v>rokprognozy=2015 i lp=300</v>
      </c>
      <c r="G43" s="13" t="str">
        <f t="shared" si="8"/>
        <v>rokprognozy=2016 i lp=300</v>
      </c>
      <c r="H43" s="13" t="str">
        <f t="shared" si="8"/>
        <v>rokprognozy=2017 i lp=300</v>
      </c>
      <c r="I43" s="13" t="str">
        <f t="shared" si="8"/>
        <v>rokprognozy=2018 i lp=300</v>
      </c>
      <c r="J43" s="13" t="str">
        <f t="shared" si="8"/>
        <v>rokprognozy=2019 i lp=300</v>
      </c>
      <c r="K43" s="13" t="str">
        <f t="shared" si="8"/>
        <v>rokprognozy=2020 i lp=300</v>
      </c>
      <c r="L43" s="13" t="str">
        <f t="shared" si="8"/>
        <v>rokprognozy=2021 i lp=300</v>
      </c>
      <c r="M43" s="13" t="str">
        <f t="shared" si="8"/>
        <v>rokprognozy=2022 i lp=300</v>
      </c>
      <c r="N43" s="13" t="str">
        <f t="shared" si="8"/>
        <v>rokprognozy=2023 i lp=300</v>
      </c>
      <c r="O43" s="13" t="str">
        <f t="shared" si="8"/>
        <v>rokprognozy=2024 i lp=300</v>
      </c>
      <c r="P43" s="13" t="str">
        <f t="shared" si="8"/>
        <v>rokprognozy=2025 i lp=300</v>
      </c>
      <c r="Q43" s="13" t="str">
        <f t="shared" si="8"/>
        <v>rokprognozy=2026 i lp=300</v>
      </c>
      <c r="R43" s="13" t="str">
        <f t="shared" si="8"/>
        <v>rokprognozy=2027 i lp=300</v>
      </c>
      <c r="S43" s="13" t="str">
        <f t="shared" si="7"/>
        <v>rokprognozy=2028 i lp=300</v>
      </c>
      <c r="T43" s="13" t="str">
        <f t="shared" si="6"/>
        <v>rokprognozy=2029 i lp=300</v>
      </c>
      <c r="U43" s="13" t="str">
        <f t="shared" si="6"/>
        <v>rokprognozy=2030 i lp=300</v>
      </c>
      <c r="V43" s="13" t="str">
        <f t="shared" si="6"/>
        <v>rokprognozy=2031 i lp=300</v>
      </c>
      <c r="W43" s="13" t="str">
        <f t="shared" si="6"/>
        <v>rokprognozy=2032 i lp=300</v>
      </c>
      <c r="X43" s="13" t="str">
        <f t="shared" si="6"/>
        <v>rokprognozy=2033 i lp=300</v>
      </c>
      <c r="Y43" s="13" t="str">
        <f t="shared" si="6"/>
        <v>rokprognozy=2034 i lp=300</v>
      </c>
      <c r="Z43" s="13" t="str">
        <f t="shared" si="6"/>
        <v>rokprognozy=2035 i lp=300</v>
      </c>
      <c r="AA43" s="13" t="str">
        <f t="shared" si="6"/>
        <v>rokprognozy=2036 i lp=300</v>
      </c>
      <c r="AB43" s="13" t="str">
        <f t="shared" si="6"/>
        <v>rokprognozy=2037 i lp=300</v>
      </c>
      <c r="AC43" s="13" t="str">
        <f t="shared" si="6"/>
        <v>rokprognozy=2038 i lp=300</v>
      </c>
      <c r="AD43" s="13" t="str">
        <f t="shared" si="6"/>
        <v>rokprognozy=2039 i lp=300</v>
      </c>
      <c r="AE43" s="13" t="str">
        <f t="shared" si="6"/>
        <v>rokprognozy=2040 i lp=300</v>
      </c>
      <c r="AF43" s="13" t="str">
        <f t="shared" si="6"/>
        <v>rokprognozy=2041 i lp=300</v>
      </c>
      <c r="AG43" s="13" t="str">
        <f t="shared" si="6"/>
        <v>rokprognozy=2042 i lp=300</v>
      </c>
      <c r="AH43" s="13" t="str">
        <f t="shared" si="6"/>
        <v>rokprognozy=2043 i lp=300</v>
      </c>
    </row>
    <row r="44" spans="1:34" ht="14.25">
      <c r="A44" s="75">
        <v>310</v>
      </c>
      <c r="B44" s="26" t="s">
        <v>122</v>
      </c>
      <c r="C44" s="13" t="s">
        <v>108</v>
      </c>
      <c r="D44" s="13" t="str">
        <f t="shared" si="8"/>
        <v>rokprognozy=2013 i lp=310</v>
      </c>
      <c r="E44" s="13" t="str">
        <f t="shared" si="8"/>
        <v>rokprognozy=2014 i lp=310</v>
      </c>
      <c r="F44" s="13" t="str">
        <f t="shared" si="8"/>
        <v>rokprognozy=2015 i lp=310</v>
      </c>
      <c r="G44" s="13" t="str">
        <f t="shared" si="8"/>
        <v>rokprognozy=2016 i lp=310</v>
      </c>
      <c r="H44" s="13" t="str">
        <f t="shared" si="8"/>
        <v>rokprognozy=2017 i lp=310</v>
      </c>
      <c r="I44" s="13" t="str">
        <f t="shared" si="8"/>
        <v>rokprognozy=2018 i lp=310</v>
      </c>
      <c r="J44" s="13" t="str">
        <f t="shared" si="8"/>
        <v>rokprognozy=2019 i lp=310</v>
      </c>
      <c r="K44" s="13" t="str">
        <f t="shared" si="8"/>
        <v>rokprognozy=2020 i lp=310</v>
      </c>
      <c r="L44" s="13" t="str">
        <f t="shared" si="8"/>
        <v>rokprognozy=2021 i lp=310</v>
      </c>
      <c r="M44" s="13" t="str">
        <f t="shared" si="8"/>
        <v>rokprognozy=2022 i lp=310</v>
      </c>
      <c r="N44" s="13" t="str">
        <f t="shared" si="8"/>
        <v>rokprognozy=2023 i lp=310</v>
      </c>
      <c r="O44" s="13" t="str">
        <f t="shared" si="8"/>
        <v>rokprognozy=2024 i lp=310</v>
      </c>
      <c r="P44" s="13" t="str">
        <f t="shared" si="8"/>
        <v>rokprognozy=2025 i lp=310</v>
      </c>
      <c r="Q44" s="13" t="str">
        <f t="shared" si="8"/>
        <v>rokprognozy=2026 i lp=310</v>
      </c>
      <c r="R44" s="13" t="str">
        <f t="shared" si="8"/>
        <v>rokprognozy=2027 i lp=310</v>
      </c>
      <c r="S44" s="13" t="str">
        <f t="shared" si="7"/>
        <v>rokprognozy=2028 i lp=310</v>
      </c>
      <c r="T44" s="13" t="str">
        <f t="shared" si="6"/>
        <v>rokprognozy=2029 i lp=310</v>
      </c>
      <c r="U44" s="13" t="str">
        <f t="shared" si="6"/>
        <v>rokprognozy=2030 i lp=310</v>
      </c>
      <c r="V44" s="13" t="str">
        <f t="shared" si="6"/>
        <v>rokprognozy=2031 i lp=310</v>
      </c>
      <c r="W44" s="13" t="str">
        <f t="shared" si="6"/>
        <v>rokprognozy=2032 i lp=310</v>
      </c>
      <c r="X44" s="13" t="str">
        <f t="shared" si="6"/>
        <v>rokprognozy=2033 i lp=310</v>
      </c>
      <c r="Y44" s="13" t="str">
        <f t="shared" si="6"/>
        <v>rokprognozy=2034 i lp=310</v>
      </c>
      <c r="Z44" s="13" t="str">
        <f t="shared" si="6"/>
        <v>rokprognozy=2035 i lp=310</v>
      </c>
      <c r="AA44" s="13" t="str">
        <f t="shared" si="6"/>
        <v>rokprognozy=2036 i lp=310</v>
      </c>
      <c r="AB44" s="13" t="str">
        <f t="shared" si="6"/>
        <v>rokprognozy=2037 i lp=310</v>
      </c>
      <c r="AC44" s="13" t="str">
        <f t="shared" si="6"/>
        <v>rokprognozy=2038 i lp=310</v>
      </c>
      <c r="AD44" s="13" t="str">
        <f t="shared" si="6"/>
        <v>rokprognozy=2039 i lp=310</v>
      </c>
      <c r="AE44" s="13" t="str">
        <f t="shared" si="6"/>
        <v>rokprognozy=2040 i lp=310</v>
      </c>
      <c r="AF44" s="13" t="str">
        <f t="shared" si="6"/>
        <v>rokprognozy=2041 i lp=310</v>
      </c>
      <c r="AG44" s="13" t="str">
        <f t="shared" si="6"/>
        <v>rokprognozy=2042 i lp=310</v>
      </c>
      <c r="AH44" s="13" t="str">
        <f t="shared" si="6"/>
        <v>rokprognozy=2043 i lp=310</v>
      </c>
    </row>
    <row r="45" spans="1:34" ht="14.25">
      <c r="A45" s="75">
        <v>320</v>
      </c>
      <c r="B45" s="233" t="s">
        <v>336</v>
      </c>
      <c r="C45" s="13" t="s">
        <v>123</v>
      </c>
      <c r="D45" s="13" t="str">
        <f t="shared" si="8"/>
        <v>rokprognozy=2013 i lp=320</v>
      </c>
      <c r="E45" s="13" t="str">
        <f t="shared" si="8"/>
        <v>rokprognozy=2014 i lp=320</v>
      </c>
      <c r="F45" s="13" t="str">
        <f t="shared" si="8"/>
        <v>rokprognozy=2015 i lp=320</v>
      </c>
      <c r="G45" s="13" t="str">
        <f t="shared" si="8"/>
        <v>rokprognozy=2016 i lp=320</v>
      </c>
      <c r="H45" s="13" t="str">
        <f t="shared" si="8"/>
        <v>rokprognozy=2017 i lp=320</v>
      </c>
      <c r="I45" s="13" t="str">
        <f t="shared" si="8"/>
        <v>rokprognozy=2018 i lp=320</v>
      </c>
      <c r="J45" s="13" t="str">
        <f t="shared" si="8"/>
        <v>rokprognozy=2019 i lp=320</v>
      </c>
      <c r="K45" s="13" t="str">
        <f t="shared" si="8"/>
        <v>rokprognozy=2020 i lp=320</v>
      </c>
      <c r="L45" s="13" t="str">
        <f t="shared" si="8"/>
        <v>rokprognozy=2021 i lp=320</v>
      </c>
      <c r="M45" s="13" t="str">
        <f t="shared" si="8"/>
        <v>rokprognozy=2022 i lp=320</v>
      </c>
      <c r="N45" s="13" t="str">
        <f t="shared" si="8"/>
        <v>rokprognozy=2023 i lp=320</v>
      </c>
      <c r="O45" s="13" t="str">
        <f t="shared" si="8"/>
        <v>rokprognozy=2024 i lp=320</v>
      </c>
      <c r="P45" s="13" t="str">
        <f t="shared" si="8"/>
        <v>rokprognozy=2025 i lp=320</v>
      </c>
      <c r="Q45" s="13" t="str">
        <f t="shared" si="8"/>
        <v>rokprognozy=2026 i lp=320</v>
      </c>
      <c r="R45" s="13" t="str">
        <f t="shared" si="8"/>
        <v>rokprognozy=2027 i lp=320</v>
      </c>
      <c r="S45" s="13" t="str">
        <f t="shared" si="7"/>
        <v>rokprognozy=2028 i lp=320</v>
      </c>
      <c r="T45" s="13" t="str">
        <f t="shared" si="6"/>
        <v>rokprognozy=2029 i lp=320</v>
      </c>
      <c r="U45" s="13" t="str">
        <f t="shared" si="6"/>
        <v>rokprognozy=2030 i lp=320</v>
      </c>
      <c r="V45" s="13" t="str">
        <f t="shared" si="6"/>
        <v>rokprognozy=2031 i lp=320</v>
      </c>
      <c r="W45" s="13" t="str">
        <f t="shared" si="6"/>
        <v>rokprognozy=2032 i lp=320</v>
      </c>
      <c r="X45" s="13" t="str">
        <f t="shared" si="6"/>
        <v>rokprognozy=2033 i lp=320</v>
      </c>
      <c r="Y45" s="13" t="str">
        <f t="shared" si="6"/>
        <v>rokprognozy=2034 i lp=320</v>
      </c>
      <c r="Z45" s="13" t="str">
        <f t="shared" si="6"/>
        <v>rokprognozy=2035 i lp=320</v>
      </c>
      <c r="AA45" s="13" t="str">
        <f t="shared" si="6"/>
        <v>rokprognozy=2036 i lp=320</v>
      </c>
      <c r="AB45" s="13" t="str">
        <f t="shared" si="6"/>
        <v>rokprognozy=2037 i lp=320</v>
      </c>
      <c r="AC45" s="13" t="str">
        <f t="shared" si="6"/>
        <v>rokprognozy=2038 i lp=320</v>
      </c>
      <c r="AD45" s="13" t="str">
        <f t="shared" si="6"/>
        <v>rokprognozy=2039 i lp=320</v>
      </c>
      <c r="AE45" s="13" t="str">
        <f t="shared" si="6"/>
        <v>rokprognozy=2040 i lp=320</v>
      </c>
      <c r="AF45" s="13" t="str">
        <f t="shared" si="6"/>
        <v>rokprognozy=2041 i lp=320</v>
      </c>
      <c r="AG45" s="13" t="str">
        <f t="shared" si="6"/>
        <v>rokprognozy=2042 i lp=320</v>
      </c>
      <c r="AH45" s="13" t="str">
        <f t="shared" si="6"/>
        <v>rokprognozy=2043 i lp=320</v>
      </c>
    </row>
    <row r="46" spans="1:34" ht="14.25">
      <c r="A46" s="75">
        <v>330</v>
      </c>
      <c r="B46" s="233" t="s">
        <v>337</v>
      </c>
      <c r="C46" s="13" t="s">
        <v>277</v>
      </c>
      <c r="D46" s="13" t="str">
        <f t="shared" si="8"/>
        <v>rokprognozy=2013 i lp=330</v>
      </c>
      <c r="E46" s="13" t="str">
        <f t="shared" si="8"/>
        <v>rokprognozy=2014 i lp=330</v>
      </c>
      <c r="F46" s="13" t="str">
        <f t="shared" si="8"/>
        <v>rokprognozy=2015 i lp=330</v>
      </c>
      <c r="G46" s="13" t="str">
        <f t="shared" si="8"/>
        <v>rokprognozy=2016 i lp=330</v>
      </c>
      <c r="H46" s="13" t="str">
        <f t="shared" si="8"/>
        <v>rokprognozy=2017 i lp=330</v>
      </c>
      <c r="I46" s="13" t="str">
        <f t="shared" si="8"/>
        <v>rokprognozy=2018 i lp=330</v>
      </c>
      <c r="J46" s="13" t="str">
        <f t="shared" si="8"/>
        <v>rokprognozy=2019 i lp=330</v>
      </c>
      <c r="K46" s="13" t="str">
        <f t="shared" si="8"/>
        <v>rokprognozy=2020 i lp=330</v>
      </c>
      <c r="L46" s="13" t="str">
        <f t="shared" si="8"/>
        <v>rokprognozy=2021 i lp=330</v>
      </c>
      <c r="M46" s="13" t="str">
        <f t="shared" si="8"/>
        <v>rokprognozy=2022 i lp=330</v>
      </c>
      <c r="N46" s="13" t="str">
        <f t="shared" si="8"/>
        <v>rokprognozy=2023 i lp=330</v>
      </c>
      <c r="O46" s="13" t="str">
        <f t="shared" si="8"/>
        <v>rokprognozy=2024 i lp=330</v>
      </c>
      <c r="P46" s="13" t="str">
        <f t="shared" si="8"/>
        <v>rokprognozy=2025 i lp=330</v>
      </c>
      <c r="Q46" s="13" t="str">
        <f t="shared" si="8"/>
        <v>rokprognozy=2026 i lp=330</v>
      </c>
      <c r="R46" s="13" t="str">
        <f t="shared" si="8"/>
        <v>rokprognozy=2027 i lp=330</v>
      </c>
      <c r="S46" s="13" t="str">
        <f t="shared" si="7"/>
        <v>rokprognozy=2028 i lp=330</v>
      </c>
      <c r="T46" s="13" t="str">
        <f t="shared" si="6"/>
        <v>rokprognozy=2029 i lp=330</v>
      </c>
      <c r="U46" s="13" t="str">
        <f t="shared" si="6"/>
        <v>rokprognozy=2030 i lp=330</v>
      </c>
      <c r="V46" s="13" t="str">
        <f t="shared" si="6"/>
        <v>rokprognozy=2031 i lp=330</v>
      </c>
      <c r="W46" s="13" t="str">
        <f t="shared" si="6"/>
        <v>rokprognozy=2032 i lp=330</v>
      </c>
      <c r="X46" s="13" t="str">
        <f t="shared" si="6"/>
        <v>rokprognozy=2033 i lp=330</v>
      </c>
      <c r="Y46" s="13" t="str">
        <f t="shared" si="6"/>
        <v>rokprognozy=2034 i lp=330</v>
      </c>
      <c r="Z46" s="13" t="str">
        <f t="shared" si="6"/>
        <v>rokprognozy=2035 i lp=330</v>
      </c>
      <c r="AA46" s="13" t="str">
        <f t="shared" si="6"/>
        <v>rokprognozy=2036 i lp=330</v>
      </c>
      <c r="AB46" s="13" t="str">
        <f t="shared" si="6"/>
        <v>rokprognozy=2037 i lp=330</v>
      </c>
      <c r="AC46" s="13" t="str">
        <f t="shared" si="6"/>
        <v>rokprognozy=2038 i lp=330</v>
      </c>
      <c r="AD46" s="13" t="str">
        <f t="shared" si="6"/>
        <v>rokprognozy=2039 i lp=330</v>
      </c>
      <c r="AE46" s="13" t="str">
        <f t="shared" si="6"/>
        <v>rokprognozy=2040 i lp=330</v>
      </c>
      <c r="AF46" s="13" t="str">
        <f t="shared" si="6"/>
        <v>rokprognozy=2041 i lp=330</v>
      </c>
      <c r="AG46" s="13" t="str">
        <f t="shared" si="6"/>
        <v>rokprognozy=2042 i lp=330</v>
      </c>
      <c r="AH46" s="13" t="str">
        <f t="shared" si="6"/>
        <v>rokprognozy=2043 i lp=330</v>
      </c>
    </row>
    <row r="47" spans="1:34" ht="14.25">
      <c r="A47" s="75">
        <v>340</v>
      </c>
      <c r="B47" s="26" t="s">
        <v>124</v>
      </c>
      <c r="C47" s="13" t="s">
        <v>278</v>
      </c>
      <c r="D47" s="13" t="str">
        <f t="shared" si="8"/>
        <v>rokprognozy=2013 i lp=340</v>
      </c>
      <c r="E47" s="13" t="str">
        <f t="shared" si="8"/>
        <v>rokprognozy=2014 i lp=340</v>
      </c>
      <c r="F47" s="13" t="str">
        <f t="shared" si="8"/>
        <v>rokprognozy=2015 i lp=340</v>
      </c>
      <c r="G47" s="13" t="str">
        <f t="shared" si="8"/>
        <v>rokprognozy=2016 i lp=340</v>
      </c>
      <c r="H47" s="13" t="str">
        <f t="shared" si="8"/>
        <v>rokprognozy=2017 i lp=340</v>
      </c>
      <c r="I47" s="13" t="str">
        <f t="shared" si="8"/>
        <v>rokprognozy=2018 i lp=340</v>
      </c>
      <c r="J47" s="13" t="str">
        <f t="shared" si="8"/>
        <v>rokprognozy=2019 i lp=340</v>
      </c>
      <c r="K47" s="13" t="str">
        <f t="shared" si="8"/>
        <v>rokprognozy=2020 i lp=340</v>
      </c>
      <c r="L47" s="13" t="str">
        <f t="shared" si="8"/>
        <v>rokprognozy=2021 i lp=340</v>
      </c>
      <c r="M47" s="13" t="str">
        <f t="shared" si="8"/>
        <v>rokprognozy=2022 i lp=340</v>
      </c>
      <c r="N47" s="13" t="str">
        <f t="shared" si="8"/>
        <v>rokprognozy=2023 i lp=340</v>
      </c>
      <c r="O47" s="13" t="str">
        <f t="shared" si="8"/>
        <v>rokprognozy=2024 i lp=340</v>
      </c>
      <c r="P47" s="13" t="str">
        <f t="shared" si="8"/>
        <v>rokprognozy=2025 i lp=340</v>
      </c>
      <c r="Q47" s="13" t="str">
        <f t="shared" si="8"/>
        <v>rokprognozy=2026 i lp=340</v>
      </c>
      <c r="R47" s="13" t="str">
        <f t="shared" si="8"/>
        <v>rokprognozy=2027 i lp=340</v>
      </c>
      <c r="S47" s="13" t="str">
        <f t="shared" si="7"/>
        <v>rokprognozy=2028 i lp=340</v>
      </c>
      <c r="T47" s="13" t="str">
        <f t="shared" si="6"/>
        <v>rokprognozy=2029 i lp=340</v>
      </c>
      <c r="U47" s="13" t="str">
        <f t="shared" si="6"/>
        <v>rokprognozy=2030 i lp=340</v>
      </c>
      <c r="V47" s="13" t="str">
        <f t="shared" si="6"/>
        <v>rokprognozy=2031 i lp=340</v>
      </c>
      <c r="W47" s="13" t="str">
        <f t="shared" si="6"/>
        <v>rokprognozy=2032 i lp=340</v>
      </c>
      <c r="X47" s="13" t="str">
        <f t="shared" si="6"/>
        <v>rokprognozy=2033 i lp=340</v>
      </c>
      <c r="Y47" s="13" t="str">
        <f t="shared" si="6"/>
        <v>rokprognozy=2034 i lp=340</v>
      </c>
      <c r="Z47" s="13" t="str">
        <f t="shared" si="6"/>
        <v>rokprognozy=2035 i lp=340</v>
      </c>
      <c r="AA47" s="13" t="str">
        <f t="shared" si="6"/>
        <v>rokprognozy=2036 i lp=340</v>
      </c>
      <c r="AB47" s="13" t="str">
        <f t="shared" si="6"/>
        <v>rokprognozy=2037 i lp=340</v>
      </c>
      <c r="AC47" s="13" t="str">
        <f t="shared" si="6"/>
        <v>rokprognozy=2038 i lp=340</v>
      </c>
      <c r="AD47" s="13" t="str">
        <f t="shared" si="6"/>
        <v>rokprognozy=2039 i lp=340</v>
      </c>
      <c r="AE47" s="13" t="str">
        <f t="shared" si="6"/>
        <v>rokprognozy=2040 i lp=340</v>
      </c>
      <c r="AF47" s="13" t="str">
        <f t="shared" si="6"/>
        <v>rokprognozy=2041 i lp=340</v>
      </c>
      <c r="AG47" s="13" t="str">
        <f t="shared" si="6"/>
        <v>rokprognozy=2042 i lp=340</v>
      </c>
      <c r="AH47" s="13" t="str">
        <f t="shared" si="6"/>
        <v>rokprognozy=2043 i lp=340</v>
      </c>
    </row>
    <row r="48" spans="1:34" ht="14.25">
      <c r="A48" s="75">
        <v>350</v>
      </c>
      <c r="B48" s="233" t="s">
        <v>338</v>
      </c>
      <c r="C48" s="13" t="s">
        <v>68</v>
      </c>
      <c r="D48" s="13" t="str">
        <f t="shared" si="8"/>
        <v>rokprognozy=2013 i lp=350</v>
      </c>
      <c r="E48" s="13" t="str">
        <f t="shared" si="8"/>
        <v>rokprognozy=2014 i lp=350</v>
      </c>
      <c r="F48" s="13" t="str">
        <f t="shared" si="8"/>
        <v>rokprognozy=2015 i lp=350</v>
      </c>
      <c r="G48" s="13" t="str">
        <f t="shared" si="8"/>
        <v>rokprognozy=2016 i lp=350</v>
      </c>
      <c r="H48" s="13" t="str">
        <f t="shared" si="8"/>
        <v>rokprognozy=2017 i lp=350</v>
      </c>
      <c r="I48" s="13" t="str">
        <f t="shared" si="8"/>
        <v>rokprognozy=2018 i lp=350</v>
      </c>
      <c r="J48" s="13" t="str">
        <f t="shared" si="8"/>
        <v>rokprognozy=2019 i lp=350</v>
      </c>
      <c r="K48" s="13" t="str">
        <f t="shared" si="8"/>
        <v>rokprognozy=2020 i lp=350</v>
      </c>
      <c r="L48" s="13" t="str">
        <f t="shared" si="8"/>
        <v>rokprognozy=2021 i lp=350</v>
      </c>
      <c r="M48" s="13" t="str">
        <f t="shared" si="8"/>
        <v>rokprognozy=2022 i lp=350</v>
      </c>
      <c r="N48" s="13" t="str">
        <f t="shared" si="8"/>
        <v>rokprognozy=2023 i lp=350</v>
      </c>
      <c r="O48" s="13" t="str">
        <f t="shared" si="8"/>
        <v>rokprognozy=2024 i lp=350</v>
      </c>
      <c r="P48" s="13" t="str">
        <f t="shared" si="8"/>
        <v>rokprognozy=2025 i lp=350</v>
      </c>
      <c r="Q48" s="13" t="str">
        <f t="shared" si="8"/>
        <v>rokprognozy=2026 i lp=350</v>
      </c>
      <c r="R48" s="13" t="str">
        <f t="shared" si="8"/>
        <v>rokprognozy=2027 i lp=350</v>
      </c>
      <c r="S48" s="13" t="str">
        <f t="shared" si="7"/>
        <v>rokprognozy=2028 i lp=350</v>
      </c>
      <c r="T48" s="13" t="str">
        <f t="shared" si="6"/>
        <v>rokprognozy=2029 i lp=350</v>
      </c>
      <c r="U48" s="13" t="str">
        <f t="shared" si="6"/>
        <v>rokprognozy=2030 i lp=350</v>
      </c>
      <c r="V48" s="13" t="str">
        <f t="shared" si="6"/>
        <v>rokprognozy=2031 i lp=350</v>
      </c>
      <c r="W48" s="13" t="str">
        <f t="shared" si="6"/>
        <v>rokprognozy=2032 i lp=350</v>
      </c>
      <c r="X48" s="13" t="str">
        <f t="shared" si="6"/>
        <v>rokprognozy=2033 i lp=350</v>
      </c>
      <c r="Y48" s="13" t="str">
        <f t="shared" si="6"/>
        <v>rokprognozy=2034 i lp=350</v>
      </c>
      <c r="Z48" s="13" t="str">
        <f t="shared" si="6"/>
        <v>rokprognozy=2035 i lp=350</v>
      </c>
      <c r="AA48" s="13" t="str">
        <f t="shared" si="6"/>
        <v>rokprognozy=2036 i lp=350</v>
      </c>
      <c r="AB48" s="13" t="str">
        <f t="shared" si="6"/>
        <v>rokprognozy=2037 i lp=350</v>
      </c>
      <c r="AC48" s="13" t="str">
        <f t="shared" si="6"/>
        <v>rokprognozy=2038 i lp=350</v>
      </c>
      <c r="AD48" s="13" t="str">
        <f t="shared" si="6"/>
        <v>rokprognozy=2039 i lp=350</v>
      </c>
      <c r="AE48" s="13" t="str">
        <f t="shared" si="6"/>
        <v>rokprognozy=2040 i lp=350</v>
      </c>
      <c r="AF48" s="13" t="str">
        <f t="shared" si="6"/>
        <v>rokprognozy=2041 i lp=350</v>
      </c>
      <c r="AG48" s="13" t="str">
        <f t="shared" si="6"/>
        <v>rokprognozy=2042 i lp=350</v>
      </c>
      <c r="AH48" s="13" t="str">
        <f t="shared" si="6"/>
        <v>rokprognozy=2043 i lp=350</v>
      </c>
    </row>
    <row r="49" spans="1:34" ht="14.25">
      <c r="A49" s="75">
        <v>360</v>
      </c>
      <c r="B49" s="233" t="s">
        <v>339</v>
      </c>
      <c r="C49" s="13" t="s">
        <v>125</v>
      </c>
      <c r="D49" s="13" t="str">
        <f t="shared" si="8"/>
        <v>rokprognozy=2013 i lp=360</v>
      </c>
      <c r="E49" s="13" t="str">
        <f t="shared" si="8"/>
        <v>rokprognozy=2014 i lp=360</v>
      </c>
      <c r="F49" s="13" t="str">
        <f t="shared" si="8"/>
        <v>rokprognozy=2015 i lp=360</v>
      </c>
      <c r="G49" s="13" t="str">
        <f t="shared" si="8"/>
        <v>rokprognozy=2016 i lp=360</v>
      </c>
      <c r="H49" s="13" t="str">
        <f t="shared" si="8"/>
        <v>rokprognozy=2017 i lp=360</v>
      </c>
      <c r="I49" s="13" t="str">
        <f t="shared" si="8"/>
        <v>rokprognozy=2018 i lp=360</v>
      </c>
      <c r="J49" s="13" t="str">
        <f t="shared" si="8"/>
        <v>rokprognozy=2019 i lp=360</v>
      </c>
      <c r="K49" s="13" t="str">
        <f t="shared" si="8"/>
        <v>rokprognozy=2020 i lp=360</v>
      </c>
      <c r="L49" s="13" t="str">
        <f t="shared" si="8"/>
        <v>rokprognozy=2021 i lp=360</v>
      </c>
      <c r="M49" s="13" t="str">
        <f t="shared" si="8"/>
        <v>rokprognozy=2022 i lp=360</v>
      </c>
      <c r="N49" s="13" t="str">
        <f t="shared" si="8"/>
        <v>rokprognozy=2023 i lp=360</v>
      </c>
      <c r="O49" s="13" t="str">
        <f t="shared" si="8"/>
        <v>rokprognozy=2024 i lp=360</v>
      </c>
      <c r="P49" s="13" t="str">
        <f t="shared" si="8"/>
        <v>rokprognozy=2025 i lp=360</v>
      </c>
      <c r="Q49" s="13" t="str">
        <f t="shared" si="8"/>
        <v>rokprognozy=2026 i lp=360</v>
      </c>
      <c r="R49" s="13" t="str">
        <f t="shared" si="8"/>
        <v>rokprognozy=2027 i lp=360</v>
      </c>
      <c r="S49" s="13" t="str">
        <f t="shared" si="7"/>
        <v>rokprognozy=2028 i lp=360</v>
      </c>
      <c r="T49" s="13" t="str">
        <f t="shared" si="6"/>
        <v>rokprognozy=2029 i lp=360</v>
      </c>
      <c r="U49" s="13" t="str">
        <f t="shared" si="6"/>
        <v>rokprognozy=2030 i lp=360</v>
      </c>
      <c r="V49" s="13" t="str">
        <f t="shared" si="6"/>
        <v>rokprognozy=2031 i lp=360</v>
      </c>
      <c r="W49" s="13" t="str">
        <f t="shared" si="6"/>
        <v>rokprognozy=2032 i lp=360</v>
      </c>
      <c r="X49" s="13" t="str">
        <f t="shared" si="6"/>
        <v>rokprognozy=2033 i lp=360</v>
      </c>
      <c r="Y49" s="13" t="str">
        <f t="shared" si="6"/>
        <v>rokprognozy=2034 i lp=360</v>
      </c>
      <c r="Z49" s="13" t="str">
        <f t="shared" si="6"/>
        <v>rokprognozy=2035 i lp=360</v>
      </c>
      <c r="AA49" s="13" t="str">
        <f t="shared" si="6"/>
        <v>rokprognozy=2036 i lp=360</v>
      </c>
      <c r="AB49" s="13" t="str">
        <f t="shared" si="6"/>
        <v>rokprognozy=2037 i lp=360</v>
      </c>
      <c r="AC49" s="13" t="str">
        <f t="shared" si="6"/>
        <v>rokprognozy=2038 i lp=360</v>
      </c>
      <c r="AD49" s="13" t="str">
        <f t="shared" si="6"/>
        <v>rokprognozy=2039 i lp=360</v>
      </c>
      <c r="AE49" s="13" t="str">
        <f t="shared" si="6"/>
        <v>rokprognozy=2040 i lp=360</v>
      </c>
      <c r="AF49" s="13" t="str">
        <f t="shared" si="6"/>
        <v>rokprognozy=2041 i lp=360</v>
      </c>
      <c r="AG49" s="13" t="str">
        <f t="shared" si="6"/>
        <v>rokprognozy=2042 i lp=360</v>
      </c>
      <c r="AH49" s="13" t="str">
        <f t="shared" si="6"/>
        <v>rokprognozy=2043 i lp=360</v>
      </c>
    </row>
    <row r="50" spans="1:34" ht="14.25">
      <c r="A50" s="75" t="s">
        <v>355</v>
      </c>
      <c r="B50" s="233" t="s">
        <v>340</v>
      </c>
      <c r="C50" s="13" t="s">
        <v>126</v>
      </c>
      <c r="D50" s="13" t="str">
        <f t="shared" si="8"/>
        <v>rokprognozy=2013 i lp=370</v>
      </c>
      <c r="E50" s="13" t="str">
        <f t="shared" si="8"/>
        <v>rokprognozy=2014 i lp=370</v>
      </c>
      <c r="F50" s="13" t="str">
        <f t="shared" si="8"/>
        <v>rokprognozy=2015 i lp=370</v>
      </c>
      <c r="G50" s="13" t="str">
        <f t="shared" si="8"/>
        <v>rokprognozy=2016 i lp=370</v>
      </c>
      <c r="H50" s="13" t="str">
        <f t="shared" si="8"/>
        <v>rokprognozy=2017 i lp=370</v>
      </c>
      <c r="I50" s="13" t="str">
        <f t="shared" si="8"/>
        <v>rokprognozy=2018 i lp=370</v>
      </c>
      <c r="J50" s="13" t="str">
        <f t="shared" si="8"/>
        <v>rokprognozy=2019 i lp=370</v>
      </c>
      <c r="K50" s="13" t="str">
        <f t="shared" si="8"/>
        <v>rokprognozy=2020 i lp=370</v>
      </c>
      <c r="L50" s="13" t="str">
        <f t="shared" si="8"/>
        <v>rokprognozy=2021 i lp=370</v>
      </c>
      <c r="M50" s="13" t="str">
        <f t="shared" si="8"/>
        <v>rokprognozy=2022 i lp=370</v>
      </c>
      <c r="N50" s="13" t="str">
        <f t="shared" si="8"/>
        <v>rokprognozy=2023 i lp=370</v>
      </c>
      <c r="O50" s="13" t="str">
        <f t="shared" si="8"/>
        <v>rokprognozy=2024 i lp=370</v>
      </c>
      <c r="P50" s="13" t="str">
        <f t="shared" si="8"/>
        <v>rokprognozy=2025 i lp=370</v>
      </c>
      <c r="Q50" s="13" t="str">
        <f t="shared" si="8"/>
        <v>rokprognozy=2026 i lp=370</v>
      </c>
      <c r="R50" s="13" t="str">
        <f t="shared" si="8"/>
        <v>rokprognozy=2027 i lp=370</v>
      </c>
      <c r="S50" s="13" t="str">
        <f t="shared" si="7"/>
        <v>rokprognozy=2028 i lp=370</v>
      </c>
      <c r="T50" s="13" t="str">
        <f t="shared" si="6"/>
        <v>rokprognozy=2029 i lp=370</v>
      </c>
      <c r="U50" s="13" t="str">
        <f t="shared" si="6"/>
        <v>rokprognozy=2030 i lp=370</v>
      </c>
      <c r="V50" s="13" t="str">
        <f t="shared" si="6"/>
        <v>rokprognozy=2031 i lp=370</v>
      </c>
      <c r="W50" s="13" t="str">
        <f t="shared" si="6"/>
        <v>rokprognozy=2032 i lp=370</v>
      </c>
      <c r="X50" s="13" t="str">
        <f t="shared" si="6"/>
        <v>rokprognozy=2033 i lp=370</v>
      </c>
      <c r="Y50" s="13" t="str">
        <f t="shared" si="6"/>
        <v>rokprognozy=2034 i lp=370</v>
      </c>
      <c r="Z50" s="13" t="str">
        <f t="shared" si="6"/>
        <v>rokprognozy=2035 i lp=370</v>
      </c>
      <c r="AA50" s="13" t="str">
        <f t="shared" si="6"/>
        <v>rokprognozy=2036 i lp=370</v>
      </c>
      <c r="AB50" s="13" t="str">
        <f t="shared" si="6"/>
        <v>rokprognozy=2037 i lp=370</v>
      </c>
      <c r="AC50" s="13" t="str">
        <f t="shared" si="6"/>
        <v>rokprognozy=2038 i lp=370</v>
      </c>
      <c r="AD50" s="13" t="str">
        <f t="shared" si="6"/>
        <v>rokprognozy=2039 i lp=370</v>
      </c>
      <c r="AE50" s="13" t="str">
        <f t="shared" si="6"/>
        <v>rokprognozy=2040 i lp=370</v>
      </c>
      <c r="AF50" s="13" t="str">
        <f t="shared" si="6"/>
        <v>rokprognozy=2041 i lp=370</v>
      </c>
      <c r="AG50" s="13" t="str">
        <f t="shared" si="6"/>
        <v>rokprognozy=2042 i lp=370</v>
      </c>
      <c r="AH50" s="13" t="str">
        <f t="shared" si="6"/>
        <v>rokprognozy=2043 i lp=370</v>
      </c>
    </row>
    <row r="51" spans="1:34" ht="14.25">
      <c r="A51" s="75">
        <v>380</v>
      </c>
      <c r="B51" s="233" t="s">
        <v>341</v>
      </c>
      <c r="C51" s="13" t="s">
        <v>279</v>
      </c>
      <c r="D51" s="13" t="str">
        <f t="shared" si="8"/>
        <v>rokprognozy=2013 i lp=380</v>
      </c>
      <c r="E51" s="13" t="str">
        <f t="shared" si="8"/>
        <v>rokprognozy=2014 i lp=380</v>
      </c>
      <c r="F51" s="13" t="str">
        <f t="shared" si="8"/>
        <v>rokprognozy=2015 i lp=380</v>
      </c>
      <c r="G51" s="13" t="str">
        <f t="shared" si="8"/>
        <v>rokprognozy=2016 i lp=380</v>
      </c>
      <c r="H51" s="13" t="str">
        <f t="shared" si="8"/>
        <v>rokprognozy=2017 i lp=380</v>
      </c>
      <c r="I51" s="13" t="str">
        <f t="shared" si="8"/>
        <v>rokprognozy=2018 i lp=380</v>
      </c>
      <c r="J51" s="13" t="str">
        <f t="shared" si="8"/>
        <v>rokprognozy=2019 i lp=380</v>
      </c>
      <c r="K51" s="13" t="str">
        <f t="shared" si="8"/>
        <v>rokprognozy=2020 i lp=380</v>
      </c>
      <c r="L51" s="13" t="str">
        <f t="shared" si="8"/>
        <v>rokprognozy=2021 i lp=380</v>
      </c>
      <c r="M51" s="13" t="str">
        <f t="shared" si="8"/>
        <v>rokprognozy=2022 i lp=380</v>
      </c>
      <c r="N51" s="13" t="str">
        <f t="shared" si="8"/>
        <v>rokprognozy=2023 i lp=380</v>
      </c>
      <c r="O51" s="13" t="str">
        <f t="shared" si="8"/>
        <v>rokprognozy=2024 i lp=380</v>
      </c>
      <c r="P51" s="13" t="str">
        <f t="shared" si="8"/>
        <v>rokprognozy=2025 i lp=380</v>
      </c>
      <c r="Q51" s="13" t="str">
        <f t="shared" si="8"/>
        <v>rokprognozy=2026 i lp=380</v>
      </c>
      <c r="R51" s="13" t="str">
        <f t="shared" si="8"/>
        <v>rokprognozy=2027 i lp=380</v>
      </c>
      <c r="S51" s="13" t="str">
        <f t="shared" si="7"/>
        <v>rokprognozy=2028 i lp=380</v>
      </c>
      <c r="T51" s="13" t="str">
        <f t="shared" si="6"/>
        <v>rokprognozy=2029 i lp=380</v>
      </c>
      <c r="U51" s="13" t="str">
        <f t="shared" si="6"/>
        <v>rokprognozy=2030 i lp=380</v>
      </c>
      <c r="V51" s="13" t="str">
        <f t="shared" si="6"/>
        <v>rokprognozy=2031 i lp=380</v>
      </c>
      <c r="W51" s="13" t="str">
        <f t="shared" si="6"/>
        <v>rokprognozy=2032 i lp=380</v>
      </c>
      <c r="X51" s="13" t="str">
        <f t="shared" si="6"/>
        <v>rokprognozy=2033 i lp=380</v>
      </c>
      <c r="Y51" s="13" t="str">
        <f t="shared" si="6"/>
        <v>rokprognozy=2034 i lp=380</v>
      </c>
      <c r="Z51" s="13" t="str">
        <f t="shared" si="6"/>
        <v>rokprognozy=2035 i lp=380</v>
      </c>
      <c r="AA51" s="13" t="str">
        <f t="shared" si="6"/>
        <v>rokprognozy=2036 i lp=380</v>
      </c>
      <c r="AB51" s="13" t="str">
        <f t="shared" si="6"/>
        <v>rokprognozy=2037 i lp=380</v>
      </c>
      <c r="AC51" s="13" t="str">
        <f t="shared" si="6"/>
        <v>rokprognozy=2038 i lp=380</v>
      </c>
      <c r="AD51" s="13" t="str">
        <f t="shared" si="6"/>
        <v>rokprognozy=2039 i lp=380</v>
      </c>
      <c r="AE51" s="13" t="str">
        <f t="shared" si="6"/>
        <v>rokprognozy=2040 i lp=380</v>
      </c>
      <c r="AF51" s="13" t="str">
        <f t="shared" si="6"/>
        <v>rokprognozy=2041 i lp=380</v>
      </c>
      <c r="AG51" s="13" t="str">
        <f t="shared" si="6"/>
        <v>rokprognozy=2042 i lp=380</v>
      </c>
      <c r="AH51" s="13" t="str">
        <f t="shared" si="6"/>
        <v>rokprognozy=2043 i lp=380</v>
      </c>
    </row>
    <row r="52" spans="1:34" ht="14.25">
      <c r="A52" s="75">
        <v>391</v>
      </c>
      <c r="B52" s="26" t="s">
        <v>127</v>
      </c>
      <c r="C52" s="13" t="s">
        <v>280</v>
      </c>
      <c r="D52" s="13" t="str">
        <f t="shared" si="8"/>
        <v>rokprognozy=2013 i lp=391</v>
      </c>
      <c r="E52" s="13" t="str">
        <f t="shared" si="8"/>
        <v>rokprognozy=2014 i lp=391</v>
      </c>
      <c r="F52" s="13" t="str">
        <f t="shared" si="8"/>
        <v>rokprognozy=2015 i lp=391</v>
      </c>
      <c r="G52" s="13" t="str">
        <f t="shared" si="8"/>
        <v>rokprognozy=2016 i lp=391</v>
      </c>
      <c r="H52" s="13" t="str">
        <f t="shared" si="8"/>
        <v>rokprognozy=2017 i lp=391</v>
      </c>
      <c r="I52" s="13" t="str">
        <f t="shared" si="8"/>
        <v>rokprognozy=2018 i lp=391</v>
      </c>
      <c r="J52" s="13" t="str">
        <f t="shared" si="8"/>
        <v>rokprognozy=2019 i lp=391</v>
      </c>
      <c r="K52" s="13" t="str">
        <f t="shared" si="8"/>
        <v>rokprognozy=2020 i lp=391</v>
      </c>
      <c r="L52" s="13" t="str">
        <f t="shared" si="8"/>
        <v>rokprognozy=2021 i lp=391</v>
      </c>
      <c r="M52" s="13" t="str">
        <f t="shared" si="8"/>
        <v>rokprognozy=2022 i lp=391</v>
      </c>
      <c r="N52" s="13" t="str">
        <f t="shared" si="8"/>
        <v>rokprognozy=2023 i lp=391</v>
      </c>
      <c r="O52" s="13" t="str">
        <f t="shared" si="8"/>
        <v>rokprognozy=2024 i lp=391</v>
      </c>
      <c r="P52" s="13" t="str">
        <f t="shared" si="8"/>
        <v>rokprognozy=2025 i lp=391</v>
      </c>
      <c r="Q52" s="13" t="str">
        <f t="shared" si="8"/>
        <v>rokprognozy=2026 i lp=391</v>
      </c>
      <c r="R52" s="13" t="str">
        <f t="shared" si="8"/>
        <v>rokprognozy=2027 i lp=391</v>
      </c>
      <c r="S52" s="13" t="str">
        <f t="shared" si="7"/>
        <v>rokprognozy=2028 i lp=391</v>
      </c>
      <c r="T52" s="13" t="str">
        <f t="shared" si="6"/>
        <v>rokprognozy=2029 i lp=391</v>
      </c>
      <c r="U52" s="13" t="str">
        <f t="shared" si="6"/>
        <v>rokprognozy=2030 i lp=391</v>
      </c>
      <c r="V52" s="13" t="str">
        <f t="shared" si="6"/>
        <v>rokprognozy=2031 i lp=391</v>
      </c>
      <c r="W52" s="13" t="str">
        <f t="shared" si="6"/>
        <v>rokprognozy=2032 i lp=391</v>
      </c>
      <c r="X52" s="13" t="str">
        <f t="shared" si="6"/>
        <v>rokprognozy=2033 i lp=391</v>
      </c>
      <c r="Y52" s="13" t="str">
        <f t="shared" si="6"/>
        <v>rokprognozy=2034 i lp=391</v>
      </c>
      <c r="Z52" s="13" t="str">
        <f t="shared" si="6"/>
        <v>rokprognozy=2035 i lp=391</v>
      </c>
      <c r="AA52" s="13" t="str">
        <f t="shared" si="6"/>
        <v>rokprognozy=2036 i lp=391</v>
      </c>
      <c r="AB52" s="13" t="str">
        <f t="shared" si="6"/>
        <v>rokprognozy=2037 i lp=391</v>
      </c>
      <c r="AC52" s="13" t="str">
        <f t="shared" si="6"/>
        <v>rokprognozy=2038 i lp=391</v>
      </c>
      <c r="AD52" s="13" t="str">
        <f t="shared" si="6"/>
        <v>rokprognozy=2039 i lp=391</v>
      </c>
      <c r="AE52" s="13" t="str">
        <f t="shared" si="6"/>
        <v>rokprognozy=2040 i lp=391</v>
      </c>
      <c r="AF52" s="13" t="str">
        <f t="shared" si="6"/>
        <v>rokprognozy=2041 i lp=391</v>
      </c>
      <c r="AG52" s="13" t="str">
        <f t="shared" si="6"/>
        <v>rokprognozy=2042 i lp=391</v>
      </c>
      <c r="AH52" s="13" t="str">
        <f t="shared" si="6"/>
        <v>rokprognozy=2043 i lp=391</v>
      </c>
    </row>
    <row r="53" spans="1:34" ht="14.25">
      <c r="A53" s="75" t="s">
        <v>356</v>
      </c>
      <c r="B53" s="26" t="s">
        <v>258</v>
      </c>
      <c r="C53" s="13" t="s">
        <v>281</v>
      </c>
      <c r="D53" s="13" t="str">
        <f t="shared" si="8"/>
        <v>rokprognozy=2013 i lp=392</v>
      </c>
      <c r="E53" s="13" t="str">
        <f t="shared" si="8"/>
        <v>rokprognozy=2014 i lp=392</v>
      </c>
      <c r="F53" s="13" t="str">
        <f t="shared" si="8"/>
        <v>rokprognozy=2015 i lp=392</v>
      </c>
      <c r="G53" s="13" t="str">
        <f t="shared" si="8"/>
        <v>rokprognozy=2016 i lp=392</v>
      </c>
      <c r="H53" s="13" t="str">
        <f t="shared" si="8"/>
        <v>rokprognozy=2017 i lp=392</v>
      </c>
      <c r="I53" s="13" t="str">
        <f t="shared" si="8"/>
        <v>rokprognozy=2018 i lp=392</v>
      </c>
      <c r="J53" s="13" t="str">
        <f t="shared" si="8"/>
        <v>rokprognozy=2019 i lp=392</v>
      </c>
      <c r="K53" s="13" t="str">
        <f t="shared" si="8"/>
        <v>rokprognozy=2020 i lp=392</v>
      </c>
      <c r="L53" s="13" t="str">
        <f t="shared" si="8"/>
        <v>rokprognozy=2021 i lp=392</v>
      </c>
      <c r="M53" s="13" t="str">
        <f t="shared" si="8"/>
        <v>rokprognozy=2022 i lp=392</v>
      </c>
      <c r="N53" s="13" t="str">
        <f t="shared" si="8"/>
        <v>rokprognozy=2023 i lp=392</v>
      </c>
      <c r="O53" s="13" t="str">
        <f t="shared" si="8"/>
        <v>rokprognozy=2024 i lp=392</v>
      </c>
      <c r="P53" s="13" t="str">
        <f t="shared" si="8"/>
        <v>rokprognozy=2025 i lp=392</v>
      </c>
      <c r="Q53" s="13" t="str">
        <f t="shared" si="8"/>
        <v>rokprognozy=2026 i lp=392</v>
      </c>
      <c r="R53" s="13" t="str">
        <f t="shared" si="8"/>
        <v>rokprognozy=2027 i lp=392</v>
      </c>
      <c r="S53" s="13" t="str">
        <f t="shared" si="7"/>
        <v>rokprognozy=2028 i lp=392</v>
      </c>
      <c r="T53" s="13" t="str">
        <f t="shared" si="6"/>
        <v>rokprognozy=2029 i lp=392</v>
      </c>
      <c r="U53" s="13" t="str">
        <f t="shared" si="6"/>
        <v>rokprognozy=2030 i lp=392</v>
      </c>
      <c r="V53" s="13" t="str">
        <f t="shared" si="6"/>
        <v>rokprognozy=2031 i lp=392</v>
      </c>
      <c r="W53" s="13" t="str">
        <f t="shared" si="6"/>
        <v>rokprognozy=2032 i lp=392</v>
      </c>
      <c r="X53" s="13" t="str">
        <f t="shared" si="6"/>
        <v>rokprognozy=2033 i lp=392</v>
      </c>
      <c r="Y53" s="13" t="str">
        <f t="shared" si="6"/>
        <v>rokprognozy=2034 i lp=392</v>
      </c>
      <c r="Z53" s="13" t="str">
        <f t="shared" si="6"/>
        <v>rokprognozy=2035 i lp=392</v>
      </c>
      <c r="AA53" s="13" t="str">
        <f t="shared" si="6"/>
        <v>rokprognozy=2036 i lp=392</v>
      </c>
      <c r="AB53" s="13" t="str">
        <f t="shared" si="6"/>
        <v>rokprognozy=2037 i lp=392</v>
      </c>
      <c r="AC53" s="13" t="str">
        <f t="shared" si="6"/>
        <v>rokprognozy=2038 i lp=392</v>
      </c>
      <c r="AD53" s="13" t="str">
        <f t="shared" si="6"/>
        <v>rokprognozy=2039 i lp=392</v>
      </c>
      <c r="AE53" s="13" t="str">
        <f t="shared" si="6"/>
        <v>rokprognozy=2040 i lp=392</v>
      </c>
      <c r="AF53" s="13" t="str">
        <f t="shared" si="6"/>
        <v>rokprognozy=2041 i lp=392</v>
      </c>
      <c r="AG53" s="13" t="str">
        <f t="shared" si="6"/>
        <v>rokprognozy=2042 i lp=392</v>
      </c>
      <c r="AH53" s="13" t="str">
        <f t="shared" si="6"/>
        <v>rokprognozy=2043 i lp=392</v>
      </c>
    </row>
    <row r="54" spans="1:34" ht="14.25">
      <c r="A54" s="75">
        <v>393</v>
      </c>
      <c r="B54" s="26" t="s">
        <v>259</v>
      </c>
      <c r="C54" s="13" t="s">
        <v>282</v>
      </c>
      <c r="D54" s="13" t="str">
        <f t="shared" si="8"/>
        <v>rokprognozy=2013 i lp=393</v>
      </c>
      <c r="E54" s="13" t="str">
        <f t="shared" si="8"/>
        <v>rokprognozy=2014 i lp=393</v>
      </c>
      <c r="F54" s="13" t="str">
        <f t="shared" si="8"/>
        <v>rokprognozy=2015 i lp=393</v>
      </c>
      <c r="G54" s="13" t="str">
        <f t="shared" si="8"/>
        <v>rokprognozy=2016 i lp=393</v>
      </c>
      <c r="H54" s="13" t="str">
        <f t="shared" si="8"/>
        <v>rokprognozy=2017 i lp=393</v>
      </c>
      <c r="I54" s="13" t="str">
        <f t="shared" si="8"/>
        <v>rokprognozy=2018 i lp=393</v>
      </c>
      <c r="J54" s="13" t="str">
        <f t="shared" si="8"/>
        <v>rokprognozy=2019 i lp=393</v>
      </c>
      <c r="K54" s="13" t="str">
        <f t="shared" si="8"/>
        <v>rokprognozy=2020 i lp=393</v>
      </c>
      <c r="L54" s="13" t="str">
        <f t="shared" si="8"/>
        <v>rokprognozy=2021 i lp=393</v>
      </c>
      <c r="M54" s="13" t="str">
        <f t="shared" si="8"/>
        <v>rokprognozy=2022 i lp=393</v>
      </c>
      <c r="N54" s="13" t="str">
        <f t="shared" si="8"/>
        <v>rokprognozy=2023 i lp=393</v>
      </c>
      <c r="O54" s="13" t="str">
        <f t="shared" si="8"/>
        <v>rokprognozy=2024 i lp=393</v>
      </c>
      <c r="P54" s="13" t="str">
        <f t="shared" si="8"/>
        <v>rokprognozy=2025 i lp=393</v>
      </c>
      <c r="Q54" s="13" t="str">
        <f t="shared" si="8"/>
        <v>rokprognozy=2026 i lp=393</v>
      </c>
      <c r="R54" s="13" t="str">
        <f t="shared" si="8"/>
        <v>rokprognozy=2027 i lp=393</v>
      </c>
      <c r="S54" s="13" t="str">
        <f t="shared" si="7"/>
        <v>rokprognozy=2028 i lp=393</v>
      </c>
      <c r="T54" s="13" t="str">
        <f aca="true" t="shared" si="9" ref="T54:AH54">+"rokprognozy="&amp;T$6&amp;" i lp="&amp;$A54</f>
        <v>rokprognozy=2029 i lp=393</v>
      </c>
      <c r="U54" s="13" t="str">
        <f t="shared" si="9"/>
        <v>rokprognozy=2030 i lp=393</v>
      </c>
      <c r="V54" s="13" t="str">
        <f t="shared" si="9"/>
        <v>rokprognozy=2031 i lp=393</v>
      </c>
      <c r="W54" s="13" t="str">
        <f t="shared" si="9"/>
        <v>rokprognozy=2032 i lp=393</v>
      </c>
      <c r="X54" s="13" t="str">
        <f t="shared" si="9"/>
        <v>rokprognozy=2033 i lp=393</v>
      </c>
      <c r="Y54" s="13" t="str">
        <f t="shared" si="9"/>
        <v>rokprognozy=2034 i lp=393</v>
      </c>
      <c r="Z54" s="13" t="str">
        <f t="shared" si="9"/>
        <v>rokprognozy=2035 i lp=393</v>
      </c>
      <c r="AA54" s="13" t="str">
        <f t="shared" si="9"/>
        <v>rokprognozy=2036 i lp=393</v>
      </c>
      <c r="AB54" s="13" t="str">
        <f t="shared" si="9"/>
        <v>rokprognozy=2037 i lp=393</v>
      </c>
      <c r="AC54" s="13" t="str">
        <f t="shared" si="9"/>
        <v>rokprognozy=2038 i lp=393</v>
      </c>
      <c r="AD54" s="13" t="str">
        <f t="shared" si="9"/>
        <v>rokprognozy=2039 i lp=393</v>
      </c>
      <c r="AE54" s="13" t="str">
        <f t="shared" si="9"/>
        <v>rokprognozy=2040 i lp=393</v>
      </c>
      <c r="AF54" s="13" t="str">
        <f t="shared" si="9"/>
        <v>rokprognozy=2041 i lp=393</v>
      </c>
      <c r="AG54" s="13" t="str">
        <f t="shared" si="9"/>
        <v>rokprognozy=2042 i lp=393</v>
      </c>
      <c r="AH54" s="13" t="str">
        <f t="shared" si="9"/>
        <v>rokprognozy=2043 i lp=393</v>
      </c>
    </row>
    <row r="55" spans="1:34" ht="14.25">
      <c r="A55" s="75">
        <v>394</v>
      </c>
      <c r="B55" s="26" t="s">
        <v>260</v>
      </c>
      <c r="C55" s="13" t="s">
        <v>283</v>
      </c>
      <c r="D55" s="13" t="str">
        <f t="shared" si="8"/>
        <v>rokprognozy=2013 i lp=394</v>
      </c>
      <c r="E55" s="13" t="str">
        <f t="shared" si="8"/>
        <v>rokprognozy=2014 i lp=394</v>
      </c>
      <c r="F55" s="13" t="str">
        <f t="shared" si="8"/>
        <v>rokprognozy=2015 i lp=394</v>
      </c>
      <c r="G55" s="13" t="str">
        <f t="shared" si="8"/>
        <v>rokprognozy=2016 i lp=394</v>
      </c>
      <c r="H55" s="13" t="str">
        <f t="shared" si="8"/>
        <v>rokprognozy=2017 i lp=394</v>
      </c>
      <c r="I55" s="13" t="str">
        <f t="shared" si="8"/>
        <v>rokprognozy=2018 i lp=394</v>
      </c>
      <c r="J55" s="13" t="str">
        <f t="shared" si="8"/>
        <v>rokprognozy=2019 i lp=394</v>
      </c>
      <c r="K55" s="13" t="str">
        <f t="shared" si="8"/>
        <v>rokprognozy=2020 i lp=394</v>
      </c>
      <c r="L55" s="13" t="str">
        <f t="shared" si="8"/>
        <v>rokprognozy=2021 i lp=394</v>
      </c>
      <c r="M55" s="13" t="str">
        <f t="shared" si="8"/>
        <v>rokprognozy=2022 i lp=394</v>
      </c>
      <c r="N55" s="13" t="str">
        <f t="shared" si="8"/>
        <v>rokprognozy=2023 i lp=394</v>
      </c>
      <c r="O55" s="13" t="str">
        <f t="shared" si="8"/>
        <v>rokprognozy=2024 i lp=394</v>
      </c>
      <c r="P55" s="13" t="str">
        <f t="shared" si="8"/>
        <v>rokprognozy=2025 i lp=394</v>
      </c>
      <c r="Q55" s="13" t="str">
        <f t="shared" si="8"/>
        <v>rokprognozy=2026 i lp=394</v>
      </c>
      <c r="R55" s="13" t="str">
        <f t="shared" si="8"/>
        <v>rokprognozy=2027 i lp=394</v>
      </c>
      <c r="S55" s="13" t="str">
        <f t="shared" si="8"/>
        <v>rokprognozy=2028 i lp=394</v>
      </c>
      <c r="T55" s="13" t="str">
        <f aca="true" t="shared" si="10" ref="T55:AH70">+"rokprognozy="&amp;T$6&amp;" i lp="&amp;$A55</f>
        <v>rokprognozy=2029 i lp=394</v>
      </c>
      <c r="U55" s="13" t="str">
        <f t="shared" si="10"/>
        <v>rokprognozy=2030 i lp=394</v>
      </c>
      <c r="V55" s="13" t="str">
        <f t="shared" si="10"/>
        <v>rokprognozy=2031 i lp=394</v>
      </c>
      <c r="W55" s="13" t="str">
        <f t="shared" si="10"/>
        <v>rokprognozy=2032 i lp=394</v>
      </c>
      <c r="X55" s="13" t="str">
        <f t="shared" si="10"/>
        <v>rokprognozy=2033 i lp=394</v>
      </c>
      <c r="Y55" s="13" t="str">
        <f t="shared" si="10"/>
        <v>rokprognozy=2034 i lp=394</v>
      </c>
      <c r="Z55" s="13" t="str">
        <f t="shared" si="10"/>
        <v>rokprognozy=2035 i lp=394</v>
      </c>
      <c r="AA55" s="13" t="str">
        <f t="shared" si="10"/>
        <v>rokprognozy=2036 i lp=394</v>
      </c>
      <c r="AB55" s="13" t="str">
        <f t="shared" si="10"/>
        <v>rokprognozy=2037 i lp=394</v>
      </c>
      <c r="AC55" s="13" t="str">
        <f t="shared" si="10"/>
        <v>rokprognozy=2038 i lp=394</v>
      </c>
      <c r="AD55" s="13" t="str">
        <f t="shared" si="10"/>
        <v>rokprognozy=2039 i lp=394</v>
      </c>
      <c r="AE55" s="13" t="str">
        <f t="shared" si="10"/>
        <v>rokprognozy=2040 i lp=394</v>
      </c>
      <c r="AF55" s="13" t="str">
        <f t="shared" si="10"/>
        <v>rokprognozy=2041 i lp=394</v>
      </c>
      <c r="AG55" s="13" t="str">
        <f t="shared" si="10"/>
        <v>rokprognozy=2042 i lp=394</v>
      </c>
      <c r="AH55" s="13" t="str">
        <f t="shared" si="10"/>
        <v>rokprognozy=2043 i lp=394</v>
      </c>
    </row>
    <row r="56" spans="1:34" ht="14.25">
      <c r="A56" s="75">
        <v>395</v>
      </c>
      <c r="B56" s="233" t="s">
        <v>296</v>
      </c>
      <c r="C56" s="13" t="s">
        <v>284</v>
      </c>
      <c r="D56" s="13" t="str">
        <f aca="true" t="shared" si="11" ref="D56:S71">+"rokprognozy="&amp;D$6&amp;" i lp="&amp;$A56</f>
        <v>rokprognozy=2013 i lp=395</v>
      </c>
      <c r="E56" s="13" t="str">
        <f t="shared" si="11"/>
        <v>rokprognozy=2014 i lp=395</v>
      </c>
      <c r="F56" s="13" t="str">
        <f t="shared" si="11"/>
        <v>rokprognozy=2015 i lp=395</v>
      </c>
      <c r="G56" s="13" t="str">
        <f t="shared" si="11"/>
        <v>rokprognozy=2016 i lp=395</v>
      </c>
      <c r="H56" s="13" t="str">
        <f t="shared" si="11"/>
        <v>rokprognozy=2017 i lp=395</v>
      </c>
      <c r="I56" s="13" t="str">
        <f t="shared" si="11"/>
        <v>rokprognozy=2018 i lp=395</v>
      </c>
      <c r="J56" s="13" t="str">
        <f t="shared" si="11"/>
        <v>rokprognozy=2019 i lp=395</v>
      </c>
      <c r="K56" s="13" t="str">
        <f t="shared" si="11"/>
        <v>rokprognozy=2020 i lp=395</v>
      </c>
      <c r="L56" s="13" t="str">
        <f t="shared" si="11"/>
        <v>rokprognozy=2021 i lp=395</v>
      </c>
      <c r="M56" s="13" t="str">
        <f t="shared" si="11"/>
        <v>rokprognozy=2022 i lp=395</v>
      </c>
      <c r="N56" s="13" t="str">
        <f t="shared" si="11"/>
        <v>rokprognozy=2023 i lp=395</v>
      </c>
      <c r="O56" s="13" t="str">
        <f t="shared" si="11"/>
        <v>rokprognozy=2024 i lp=395</v>
      </c>
      <c r="P56" s="13" t="str">
        <f t="shared" si="11"/>
        <v>rokprognozy=2025 i lp=395</v>
      </c>
      <c r="Q56" s="13" t="str">
        <f t="shared" si="11"/>
        <v>rokprognozy=2026 i lp=395</v>
      </c>
      <c r="R56" s="13" t="str">
        <f t="shared" si="11"/>
        <v>rokprognozy=2027 i lp=395</v>
      </c>
      <c r="S56" s="13" t="str">
        <f t="shared" si="11"/>
        <v>rokprognozy=2028 i lp=395</v>
      </c>
      <c r="T56" s="13" t="str">
        <f t="shared" si="10"/>
        <v>rokprognozy=2029 i lp=395</v>
      </c>
      <c r="U56" s="13" t="str">
        <f t="shared" si="10"/>
        <v>rokprognozy=2030 i lp=395</v>
      </c>
      <c r="V56" s="13" t="str">
        <f t="shared" si="10"/>
        <v>rokprognozy=2031 i lp=395</v>
      </c>
      <c r="W56" s="13" t="str">
        <f t="shared" si="10"/>
        <v>rokprognozy=2032 i lp=395</v>
      </c>
      <c r="X56" s="13" t="str">
        <f t="shared" si="10"/>
        <v>rokprognozy=2033 i lp=395</v>
      </c>
      <c r="Y56" s="13" t="str">
        <f t="shared" si="10"/>
        <v>rokprognozy=2034 i lp=395</v>
      </c>
      <c r="Z56" s="13" t="str">
        <f t="shared" si="10"/>
        <v>rokprognozy=2035 i lp=395</v>
      </c>
      <c r="AA56" s="13" t="str">
        <f t="shared" si="10"/>
        <v>rokprognozy=2036 i lp=395</v>
      </c>
      <c r="AB56" s="13" t="str">
        <f t="shared" si="10"/>
        <v>rokprognozy=2037 i lp=395</v>
      </c>
      <c r="AC56" s="13" t="str">
        <f t="shared" si="10"/>
        <v>rokprognozy=2038 i lp=395</v>
      </c>
      <c r="AD56" s="13" t="str">
        <f t="shared" si="10"/>
        <v>rokprognozy=2039 i lp=395</v>
      </c>
      <c r="AE56" s="13" t="str">
        <f t="shared" si="10"/>
        <v>rokprognozy=2040 i lp=395</v>
      </c>
      <c r="AF56" s="13" t="str">
        <f t="shared" si="10"/>
        <v>rokprognozy=2041 i lp=395</v>
      </c>
      <c r="AG56" s="13" t="str">
        <f t="shared" si="10"/>
        <v>rokprognozy=2042 i lp=395</v>
      </c>
      <c r="AH56" s="13" t="str">
        <f t="shared" si="10"/>
        <v>rokprognozy=2043 i lp=395</v>
      </c>
    </row>
    <row r="57" spans="1:34" ht="14.25">
      <c r="A57" s="75">
        <v>396</v>
      </c>
      <c r="B57" s="233" t="s">
        <v>265</v>
      </c>
      <c r="C57" s="13" t="s">
        <v>285</v>
      </c>
      <c r="D57" s="13" t="str">
        <f t="shared" si="11"/>
        <v>rokprognozy=2013 i lp=396</v>
      </c>
      <c r="E57" s="13" t="str">
        <f t="shared" si="11"/>
        <v>rokprognozy=2014 i lp=396</v>
      </c>
      <c r="F57" s="13" t="str">
        <f t="shared" si="11"/>
        <v>rokprognozy=2015 i lp=396</v>
      </c>
      <c r="G57" s="13" t="str">
        <f t="shared" si="11"/>
        <v>rokprognozy=2016 i lp=396</v>
      </c>
      <c r="H57" s="13" t="str">
        <f t="shared" si="11"/>
        <v>rokprognozy=2017 i lp=396</v>
      </c>
      <c r="I57" s="13" t="str">
        <f t="shared" si="11"/>
        <v>rokprognozy=2018 i lp=396</v>
      </c>
      <c r="J57" s="13" t="str">
        <f t="shared" si="11"/>
        <v>rokprognozy=2019 i lp=396</v>
      </c>
      <c r="K57" s="13" t="str">
        <f t="shared" si="11"/>
        <v>rokprognozy=2020 i lp=396</v>
      </c>
      <c r="L57" s="13" t="str">
        <f t="shared" si="11"/>
        <v>rokprognozy=2021 i lp=396</v>
      </c>
      <c r="M57" s="13" t="str">
        <f t="shared" si="11"/>
        <v>rokprognozy=2022 i lp=396</v>
      </c>
      <c r="N57" s="13" t="str">
        <f t="shared" si="11"/>
        <v>rokprognozy=2023 i lp=396</v>
      </c>
      <c r="O57" s="13" t="str">
        <f t="shared" si="11"/>
        <v>rokprognozy=2024 i lp=396</v>
      </c>
      <c r="P57" s="13" t="str">
        <f t="shared" si="11"/>
        <v>rokprognozy=2025 i lp=396</v>
      </c>
      <c r="Q57" s="13" t="str">
        <f t="shared" si="11"/>
        <v>rokprognozy=2026 i lp=396</v>
      </c>
      <c r="R57" s="13" t="str">
        <f t="shared" si="11"/>
        <v>rokprognozy=2027 i lp=396</v>
      </c>
      <c r="S57" s="13" t="str">
        <f t="shared" si="11"/>
        <v>rokprognozy=2028 i lp=396</v>
      </c>
      <c r="T57" s="13" t="str">
        <f t="shared" si="10"/>
        <v>rokprognozy=2029 i lp=396</v>
      </c>
      <c r="U57" s="13" t="str">
        <f t="shared" si="10"/>
        <v>rokprognozy=2030 i lp=396</v>
      </c>
      <c r="V57" s="13" t="str">
        <f t="shared" si="10"/>
        <v>rokprognozy=2031 i lp=396</v>
      </c>
      <c r="W57" s="13" t="str">
        <f t="shared" si="10"/>
        <v>rokprognozy=2032 i lp=396</v>
      </c>
      <c r="X57" s="13" t="str">
        <f t="shared" si="10"/>
        <v>rokprognozy=2033 i lp=396</v>
      </c>
      <c r="Y57" s="13" t="str">
        <f t="shared" si="10"/>
        <v>rokprognozy=2034 i lp=396</v>
      </c>
      <c r="Z57" s="13" t="str">
        <f t="shared" si="10"/>
        <v>rokprognozy=2035 i lp=396</v>
      </c>
      <c r="AA57" s="13" t="str">
        <f t="shared" si="10"/>
        <v>rokprognozy=2036 i lp=396</v>
      </c>
      <c r="AB57" s="13" t="str">
        <f t="shared" si="10"/>
        <v>rokprognozy=2037 i lp=396</v>
      </c>
      <c r="AC57" s="13" t="str">
        <f t="shared" si="10"/>
        <v>rokprognozy=2038 i lp=396</v>
      </c>
      <c r="AD57" s="13" t="str">
        <f t="shared" si="10"/>
        <v>rokprognozy=2039 i lp=396</v>
      </c>
      <c r="AE57" s="13" t="str">
        <f t="shared" si="10"/>
        <v>rokprognozy=2040 i lp=396</v>
      </c>
      <c r="AF57" s="13" t="str">
        <f t="shared" si="10"/>
        <v>rokprognozy=2041 i lp=396</v>
      </c>
      <c r="AG57" s="13" t="str">
        <f t="shared" si="10"/>
        <v>rokprognozy=2042 i lp=396</v>
      </c>
      <c r="AH57" s="13" t="str">
        <f t="shared" si="10"/>
        <v>rokprognozy=2043 i lp=396</v>
      </c>
    </row>
    <row r="58" spans="1:34" ht="14.25">
      <c r="A58" s="75">
        <v>397</v>
      </c>
      <c r="B58" s="26" t="s">
        <v>261</v>
      </c>
      <c r="C58" s="13" t="s">
        <v>286</v>
      </c>
      <c r="D58" s="13" t="str">
        <f t="shared" si="11"/>
        <v>rokprognozy=2013 i lp=397</v>
      </c>
      <c r="E58" s="13" t="str">
        <f t="shared" si="11"/>
        <v>rokprognozy=2014 i lp=397</v>
      </c>
      <c r="F58" s="13" t="str">
        <f t="shared" si="11"/>
        <v>rokprognozy=2015 i lp=397</v>
      </c>
      <c r="G58" s="13" t="str">
        <f t="shared" si="11"/>
        <v>rokprognozy=2016 i lp=397</v>
      </c>
      <c r="H58" s="13" t="str">
        <f t="shared" si="11"/>
        <v>rokprognozy=2017 i lp=397</v>
      </c>
      <c r="I58" s="13" t="str">
        <f t="shared" si="11"/>
        <v>rokprognozy=2018 i lp=397</v>
      </c>
      <c r="J58" s="13" t="str">
        <f t="shared" si="11"/>
        <v>rokprognozy=2019 i lp=397</v>
      </c>
      <c r="K58" s="13" t="str">
        <f t="shared" si="11"/>
        <v>rokprognozy=2020 i lp=397</v>
      </c>
      <c r="L58" s="13" t="str">
        <f t="shared" si="11"/>
        <v>rokprognozy=2021 i lp=397</v>
      </c>
      <c r="M58" s="13" t="str">
        <f t="shared" si="11"/>
        <v>rokprognozy=2022 i lp=397</v>
      </c>
      <c r="N58" s="13" t="str">
        <f t="shared" si="11"/>
        <v>rokprognozy=2023 i lp=397</v>
      </c>
      <c r="O58" s="13" t="str">
        <f t="shared" si="11"/>
        <v>rokprognozy=2024 i lp=397</v>
      </c>
      <c r="P58" s="13" t="str">
        <f t="shared" si="11"/>
        <v>rokprognozy=2025 i lp=397</v>
      </c>
      <c r="Q58" s="13" t="str">
        <f t="shared" si="11"/>
        <v>rokprognozy=2026 i lp=397</v>
      </c>
      <c r="R58" s="13" t="str">
        <f t="shared" si="11"/>
        <v>rokprognozy=2027 i lp=397</v>
      </c>
      <c r="S58" s="13" t="str">
        <f t="shared" si="11"/>
        <v>rokprognozy=2028 i lp=397</v>
      </c>
      <c r="T58" s="13" t="str">
        <f t="shared" si="10"/>
        <v>rokprognozy=2029 i lp=397</v>
      </c>
      <c r="U58" s="13" t="str">
        <f t="shared" si="10"/>
        <v>rokprognozy=2030 i lp=397</v>
      </c>
      <c r="V58" s="13" t="str">
        <f t="shared" si="10"/>
        <v>rokprognozy=2031 i lp=397</v>
      </c>
      <c r="W58" s="13" t="str">
        <f t="shared" si="10"/>
        <v>rokprognozy=2032 i lp=397</v>
      </c>
      <c r="X58" s="13" t="str">
        <f t="shared" si="10"/>
        <v>rokprognozy=2033 i lp=397</v>
      </c>
      <c r="Y58" s="13" t="str">
        <f t="shared" si="10"/>
        <v>rokprognozy=2034 i lp=397</v>
      </c>
      <c r="Z58" s="13" t="str">
        <f t="shared" si="10"/>
        <v>rokprognozy=2035 i lp=397</v>
      </c>
      <c r="AA58" s="13" t="str">
        <f t="shared" si="10"/>
        <v>rokprognozy=2036 i lp=397</v>
      </c>
      <c r="AB58" s="13" t="str">
        <f t="shared" si="10"/>
        <v>rokprognozy=2037 i lp=397</v>
      </c>
      <c r="AC58" s="13" t="str">
        <f t="shared" si="10"/>
        <v>rokprognozy=2038 i lp=397</v>
      </c>
      <c r="AD58" s="13" t="str">
        <f t="shared" si="10"/>
        <v>rokprognozy=2039 i lp=397</v>
      </c>
      <c r="AE58" s="13" t="str">
        <f t="shared" si="10"/>
        <v>rokprognozy=2040 i lp=397</v>
      </c>
      <c r="AF58" s="13" t="str">
        <f t="shared" si="10"/>
        <v>rokprognozy=2041 i lp=397</v>
      </c>
      <c r="AG58" s="13" t="str">
        <f t="shared" si="10"/>
        <v>rokprognozy=2042 i lp=397</v>
      </c>
      <c r="AH58" s="13" t="str">
        <f t="shared" si="10"/>
        <v>rokprognozy=2043 i lp=397</v>
      </c>
    </row>
    <row r="59" spans="1:34" ht="14.25">
      <c r="A59" s="75">
        <v>400</v>
      </c>
      <c r="B59" s="233" t="s">
        <v>342</v>
      </c>
      <c r="C59" s="13" t="s">
        <v>69</v>
      </c>
      <c r="D59" s="13" t="str">
        <f t="shared" si="11"/>
        <v>rokprognozy=2013 i lp=400</v>
      </c>
      <c r="E59" s="13" t="str">
        <f t="shared" si="11"/>
        <v>rokprognozy=2014 i lp=400</v>
      </c>
      <c r="F59" s="13" t="str">
        <f t="shared" si="11"/>
        <v>rokprognozy=2015 i lp=400</v>
      </c>
      <c r="G59" s="13" t="str">
        <f t="shared" si="11"/>
        <v>rokprognozy=2016 i lp=400</v>
      </c>
      <c r="H59" s="13" t="str">
        <f t="shared" si="11"/>
        <v>rokprognozy=2017 i lp=400</v>
      </c>
      <c r="I59" s="13" t="str">
        <f t="shared" si="11"/>
        <v>rokprognozy=2018 i lp=400</v>
      </c>
      <c r="J59" s="13" t="str">
        <f t="shared" si="11"/>
        <v>rokprognozy=2019 i lp=400</v>
      </c>
      <c r="K59" s="13" t="str">
        <f t="shared" si="11"/>
        <v>rokprognozy=2020 i lp=400</v>
      </c>
      <c r="L59" s="13" t="str">
        <f t="shared" si="11"/>
        <v>rokprognozy=2021 i lp=400</v>
      </c>
      <c r="M59" s="13" t="str">
        <f t="shared" si="11"/>
        <v>rokprognozy=2022 i lp=400</v>
      </c>
      <c r="N59" s="13" t="str">
        <f t="shared" si="11"/>
        <v>rokprognozy=2023 i lp=400</v>
      </c>
      <c r="O59" s="13" t="str">
        <f t="shared" si="11"/>
        <v>rokprognozy=2024 i lp=400</v>
      </c>
      <c r="P59" s="13" t="str">
        <f t="shared" si="11"/>
        <v>rokprognozy=2025 i lp=400</v>
      </c>
      <c r="Q59" s="13" t="str">
        <f t="shared" si="11"/>
        <v>rokprognozy=2026 i lp=400</v>
      </c>
      <c r="R59" s="13" t="str">
        <f t="shared" si="11"/>
        <v>rokprognozy=2027 i lp=400</v>
      </c>
      <c r="S59" s="13" t="str">
        <f t="shared" si="11"/>
        <v>rokprognozy=2028 i lp=400</v>
      </c>
      <c r="T59" s="13" t="str">
        <f t="shared" si="10"/>
        <v>rokprognozy=2029 i lp=400</v>
      </c>
      <c r="U59" s="13" t="str">
        <f t="shared" si="10"/>
        <v>rokprognozy=2030 i lp=400</v>
      </c>
      <c r="V59" s="13" t="str">
        <f t="shared" si="10"/>
        <v>rokprognozy=2031 i lp=400</v>
      </c>
      <c r="W59" s="13" t="str">
        <f t="shared" si="10"/>
        <v>rokprognozy=2032 i lp=400</v>
      </c>
      <c r="X59" s="13" t="str">
        <f t="shared" si="10"/>
        <v>rokprognozy=2033 i lp=400</v>
      </c>
      <c r="Y59" s="13" t="str">
        <f t="shared" si="10"/>
        <v>rokprognozy=2034 i lp=400</v>
      </c>
      <c r="Z59" s="13" t="str">
        <f t="shared" si="10"/>
        <v>rokprognozy=2035 i lp=400</v>
      </c>
      <c r="AA59" s="13" t="str">
        <f t="shared" si="10"/>
        <v>rokprognozy=2036 i lp=400</v>
      </c>
      <c r="AB59" s="13" t="str">
        <f t="shared" si="10"/>
        <v>rokprognozy=2037 i lp=400</v>
      </c>
      <c r="AC59" s="13" t="str">
        <f t="shared" si="10"/>
        <v>rokprognozy=2038 i lp=400</v>
      </c>
      <c r="AD59" s="13" t="str">
        <f t="shared" si="10"/>
        <v>rokprognozy=2039 i lp=400</v>
      </c>
      <c r="AE59" s="13" t="str">
        <f t="shared" si="10"/>
        <v>rokprognozy=2040 i lp=400</v>
      </c>
      <c r="AF59" s="13" t="str">
        <f t="shared" si="10"/>
        <v>rokprognozy=2041 i lp=400</v>
      </c>
      <c r="AG59" s="13" t="str">
        <f t="shared" si="10"/>
        <v>rokprognozy=2042 i lp=400</v>
      </c>
      <c r="AH59" s="13" t="str">
        <f t="shared" si="10"/>
        <v>rokprognozy=2043 i lp=400</v>
      </c>
    </row>
    <row r="60" spans="1:34" ht="14.25">
      <c r="A60" s="75">
        <v>410</v>
      </c>
      <c r="B60" s="26" t="s">
        <v>128</v>
      </c>
      <c r="C60" s="13" t="s">
        <v>71</v>
      </c>
      <c r="D60" s="13" t="str">
        <f t="shared" si="11"/>
        <v>rokprognozy=2013 i lp=410</v>
      </c>
      <c r="E60" s="13" t="str">
        <f t="shared" si="11"/>
        <v>rokprognozy=2014 i lp=410</v>
      </c>
      <c r="F60" s="13" t="str">
        <f t="shared" si="11"/>
        <v>rokprognozy=2015 i lp=410</v>
      </c>
      <c r="G60" s="13" t="str">
        <f t="shared" si="11"/>
        <v>rokprognozy=2016 i lp=410</v>
      </c>
      <c r="H60" s="13" t="str">
        <f t="shared" si="11"/>
        <v>rokprognozy=2017 i lp=410</v>
      </c>
      <c r="I60" s="13" t="str">
        <f t="shared" si="11"/>
        <v>rokprognozy=2018 i lp=410</v>
      </c>
      <c r="J60" s="13" t="str">
        <f t="shared" si="11"/>
        <v>rokprognozy=2019 i lp=410</v>
      </c>
      <c r="K60" s="13" t="str">
        <f t="shared" si="11"/>
        <v>rokprognozy=2020 i lp=410</v>
      </c>
      <c r="L60" s="13" t="str">
        <f t="shared" si="11"/>
        <v>rokprognozy=2021 i lp=410</v>
      </c>
      <c r="M60" s="13" t="str">
        <f t="shared" si="11"/>
        <v>rokprognozy=2022 i lp=410</v>
      </c>
      <c r="N60" s="13" t="str">
        <f t="shared" si="11"/>
        <v>rokprognozy=2023 i lp=410</v>
      </c>
      <c r="O60" s="13" t="str">
        <f t="shared" si="11"/>
        <v>rokprognozy=2024 i lp=410</v>
      </c>
      <c r="P60" s="13" t="str">
        <f t="shared" si="11"/>
        <v>rokprognozy=2025 i lp=410</v>
      </c>
      <c r="Q60" s="13" t="str">
        <f t="shared" si="11"/>
        <v>rokprognozy=2026 i lp=410</v>
      </c>
      <c r="R60" s="13" t="str">
        <f t="shared" si="11"/>
        <v>rokprognozy=2027 i lp=410</v>
      </c>
      <c r="S60" s="13" t="str">
        <f t="shared" si="11"/>
        <v>rokprognozy=2028 i lp=410</v>
      </c>
      <c r="T60" s="13" t="str">
        <f t="shared" si="10"/>
        <v>rokprognozy=2029 i lp=410</v>
      </c>
      <c r="U60" s="13" t="str">
        <f t="shared" si="10"/>
        <v>rokprognozy=2030 i lp=410</v>
      </c>
      <c r="V60" s="13" t="str">
        <f t="shared" si="10"/>
        <v>rokprognozy=2031 i lp=410</v>
      </c>
      <c r="W60" s="13" t="str">
        <f t="shared" si="10"/>
        <v>rokprognozy=2032 i lp=410</v>
      </c>
      <c r="X60" s="13" t="str">
        <f t="shared" si="10"/>
        <v>rokprognozy=2033 i lp=410</v>
      </c>
      <c r="Y60" s="13" t="str">
        <f t="shared" si="10"/>
        <v>rokprognozy=2034 i lp=410</v>
      </c>
      <c r="Z60" s="13" t="str">
        <f t="shared" si="10"/>
        <v>rokprognozy=2035 i lp=410</v>
      </c>
      <c r="AA60" s="13" t="str">
        <f t="shared" si="10"/>
        <v>rokprognozy=2036 i lp=410</v>
      </c>
      <c r="AB60" s="13" t="str">
        <f t="shared" si="10"/>
        <v>rokprognozy=2037 i lp=410</v>
      </c>
      <c r="AC60" s="13" t="str">
        <f t="shared" si="10"/>
        <v>rokprognozy=2038 i lp=410</v>
      </c>
      <c r="AD60" s="13" t="str">
        <f t="shared" si="10"/>
        <v>rokprognozy=2039 i lp=410</v>
      </c>
      <c r="AE60" s="13" t="str">
        <f t="shared" si="10"/>
        <v>rokprognozy=2040 i lp=410</v>
      </c>
      <c r="AF60" s="13" t="str">
        <f t="shared" si="10"/>
        <v>rokprognozy=2041 i lp=410</v>
      </c>
      <c r="AG60" s="13" t="str">
        <f t="shared" si="10"/>
        <v>rokprognozy=2042 i lp=410</v>
      </c>
      <c r="AH60" s="13" t="str">
        <f t="shared" si="10"/>
        <v>rokprognozy=2043 i lp=410</v>
      </c>
    </row>
    <row r="61" spans="1:34" ht="14.25">
      <c r="A61" s="75">
        <v>420</v>
      </c>
      <c r="B61" s="233" t="s">
        <v>343</v>
      </c>
      <c r="C61" s="13" t="s">
        <v>72</v>
      </c>
      <c r="D61" s="13" t="str">
        <f t="shared" si="11"/>
        <v>rokprognozy=2013 i lp=420</v>
      </c>
      <c r="E61" s="13" t="str">
        <f t="shared" si="11"/>
        <v>rokprognozy=2014 i lp=420</v>
      </c>
      <c r="F61" s="13" t="str">
        <f t="shared" si="11"/>
        <v>rokprognozy=2015 i lp=420</v>
      </c>
      <c r="G61" s="13" t="str">
        <f t="shared" si="11"/>
        <v>rokprognozy=2016 i lp=420</v>
      </c>
      <c r="H61" s="13" t="str">
        <f t="shared" si="11"/>
        <v>rokprognozy=2017 i lp=420</v>
      </c>
      <c r="I61" s="13" t="str">
        <f t="shared" si="11"/>
        <v>rokprognozy=2018 i lp=420</v>
      </c>
      <c r="J61" s="13" t="str">
        <f t="shared" si="11"/>
        <v>rokprognozy=2019 i lp=420</v>
      </c>
      <c r="K61" s="13" t="str">
        <f t="shared" si="11"/>
        <v>rokprognozy=2020 i lp=420</v>
      </c>
      <c r="L61" s="13" t="str">
        <f t="shared" si="11"/>
        <v>rokprognozy=2021 i lp=420</v>
      </c>
      <c r="M61" s="13" t="str">
        <f t="shared" si="11"/>
        <v>rokprognozy=2022 i lp=420</v>
      </c>
      <c r="N61" s="13" t="str">
        <f t="shared" si="11"/>
        <v>rokprognozy=2023 i lp=420</v>
      </c>
      <c r="O61" s="13" t="str">
        <f t="shared" si="11"/>
        <v>rokprognozy=2024 i lp=420</v>
      </c>
      <c r="P61" s="13" t="str">
        <f t="shared" si="11"/>
        <v>rokprognozy=2025 i lp=420</v>
      </c>
      <c r="Q61" s="13" t="str">
        <f t="shared" si="11"/>
        <v>rokprognozy=2026 i lp=420</v>
      </c>
      <c r="R61" s="13" t="str">
        <f t="shared" si="11"/>
        <v>rokprognozy=2027 i lp=420</v>
      </c>
      <c r="S61" s="13" t="str">
        <f t="shared" si="11"/>
        <v>rokprognozy=2028 i lp=420</v>
      </c>
      <c r="T61" s="13" t="str">
        <f t="shared" si="10"/>
        <v>rokprognozy=2029 i lp=420</v>
      </c>
      <c r="U61" s="13" t="str">
        <f t="shared" si="10"/>
        <v>rokprognozy=2030 i lp=420</v>
      </c>
      <c r="V61" s="13" t="str">
        <f t="shared" si="10"/>
        <v>rokprognozy=2031 i lp=420</v>
      </c>
      <c r="W61" s="13" t="str">
        <f t="shared" si="10"/>
        <v>rokprognozy=2032 i lp=420</v>
      </c>
      <c r="X61" s="13" t="str">
        <f t="shared" si="10"/>
        <v>rokprognozy=2033 i lp=420</v>
      </c>
      <c r="Y61" s="13" t="str">
        <f t="shared" si="10"/>
        <v>rokprognozy=2034 i lp=420</v>
      </c>
      <c r="Z61" s="13" t="str">
        <f t="shared" si="10"/>
        <v>rokprognozy=2035 i lp=420</v>
      </c>
      <c r="AA61" s="13" t="str">
        <f t="shared" si="10"/>
        <v>rokprognozy=2036 i lp=420</v>
      </c>
      <c r="AB61" s="13" t="str">
        <f t="shared" si="10"/>
        <v>rokprognozy=2037 i lp=420</v>
      </c>
      <c r="AC61" s="13" t="str">
        <f t="shared" si="10"/>
        <v>rokprognozy=2038 i lp=420</v>
      </c>
      <c r="AD61" s="13" t="str">
        <f t="shared" si="10"/>
        <v>rokprognozy=2039 i lp=420</v>
      </c>
      <c r="AE61" s="13" t="str">
        <f t="shared" si="10"/>
        <v>rokprognozy=2040 i lp=420</v>
      </c>
      <c r="AF61" s="13" t="str">
        <f t="shared" si="10"/>
        <v>rokprognozy=2041 i lp=420</v>
      </c>
      <c r="AG61" s="13" t="str">
        <f t="shared" si="10"/>
        <v>rokprognozy=2042 i lp=420</v>
      </c>
      <c r="AH61" s="13" t="str">
        <f t="shared" si="10"/>
        <v>rokprognozy=2043 i lp=420</v>
      </c>
    </row>
    <row r="62" spans="1:34" ht="14.25">
      <c r="A62" s="75">
        <v>430</v>
      </c>
      <c r="B62" s="26" t="s">
        <v>129</v>
      </c>
      <c r="C62" s="13" t="s">
        <v>74</v>
      </c>
      <c r="D62" s="13" t="str">
        <f t="shared" si="11"/>
        <v>rokprognozy=2013 i lp=430</v>
      </c>
      <c r="E62" s="13" t="str">
        <f t="shared" si="11"/>
        <v>rokprognozy=2014 i lp=430</v>
      </c>
      <c r="F62" s="13" t="str">
        <f t="shared" si="11"/>
        <v>rokprognozy=2015 i lp=430</v>
      </c>
      <c r="G62" s="13" t="str">
        <f t="shared" si="11"/>
        <v>rokprognozy=2016 i lp=430</v>
      </c>
      <c r="H62" s="13" t="str">
        <f t="shared" si="11"/>
        <v>rokprognozy=2017 i lp=430</v>
      </c>
      <c r="I62" s="13" t="str">
        <f t="shared" si="11"/>
        <v>rokprognozy=2018 i lp=430</v>
      </c>
      <c r="J62" s="13" t="str">
        <f t="shared" si="11"/>
        <v>rokprognozy=2019 i lp=430</v>
      </c>
      <c r="K62" s="13" t="str">
        <f t="shared" si="11"/>
        <v>rokprognozy=2020 i lp=430</v>
      </c>
      <c r="L62" s="13" t="str">
        <f t="shared" si="11"/>
        <v>rokprognozy=2021 i lp=430</v>
      </c>
      <c r="M62" s="13" t="str">
        <f t="shared" si="11"/>
        <v>rokprognozy=2022 i lp=430</v>
      </c>
      <c r="N62" s="13" t="str">
        <f t="shared" si="11"/>
        <v>rokprognozy=2023 i lp=430</v>
      </c>
      <c r="O62" s="13" t="str">
        <f t="shared" si="11"/>
        <v>rokprognozy=2024 i lp=430</v>
      </c>
      <c r="P62" s="13" t="str">
        <f t="shared" si="11"/>
        <v>rokprognozy=2025 i lp=430</v>
      </c>
      <c r="Q62" s="13" t="str">
        <f t="shared" si="11"/>
        <v>rokprognozy=2026 i lp=430</v>
      </c>
      <c r="R62" s="13" t="str">
        <f t="shared" si="11"/>
        <v>rokprognozy=2027 i lp=430</v>
      </c>
      <c r="S62" s="13" t="str">
        <f t="shared" si="11"/>
        <v>rokprognozy=2028 i lp=430</v>
      </c>
      <c r="T62" s="13" t="str">
        <f t="shared" si="10"/>
        <v>rokprognozy=2029 i lp=430</v>
      </c>
      <c r="U62" s="13" t="str">
        <f t="shared" si="10"/>
        <v>rokprognozy=2030 i lp=430</v>
      </c>
      <c r="V62" s="13" t="str">
        <f t="shared" si="10"/>
        <v>rokprognozy=2031 i lp=430</v>
      </c>
      <c r="W62" s="13" t="str">
        <f t="shared" si="10"/>
        <v>rokprognozy=2032 i lp=430</v>
      </c>
      <c r="X62" s="13" t="str">
        <f t="shared" si="10"/>
        <v>rokprognozy=2033 i lp=430</v>
      </c>
      <c r="Y62" s="13" t="str">
        <f t="shared" si="10"/>
        <v>rokprognozy=2034 i lp=430</v>
      </c>
      <c r="Z62" s="13" t="str">
        <f t="shared" si="10"/>
        <v>rokprognozy=2035 i lp=430</v>
      </c>
      <c r="AA62" s="13" t="str">
        <f t="shared" si="10"/>
        <v>rokprognozy=2036 i lp=430</v>
      </c>
      <c r="AB62" s="13" t="str">
        <f t="shared" si="10"/>
        <v>rokprognozy=2037 i lp=430</v>
      </c>
      <c r="AC62" s="13" t="str">
        <f t="shared" si="10"/>
        <v>rokprognozy=2038 i lp=430</v>
      </c>
      <c r="AD62" s="13" t="str">
        <f t="shared" si="10"/>
        <v>rokprognozy=2039 i lp=430</v>
      </c>
      <c r="AE62" s="13" t="str">
        <f t="shared" si="10"/>
        <v>rokprognozy=2040 i lp=430</v>
      </c>
      <c r="AF62" s="13" t="str">
        <f t="shared" si="10"/>
        <v>rokprognozy=2041 i lp=430</v>
      </c>
      <c r="AG62" s="13" t="str">
        <f t="shared" si="10"/>
        <v>rokprognozy=2042 i lp=430</v>
      </c>
      <c r="AH62" s="13" t="str">
        <f t="shared" si="10"/>
        <v>rokprognozy=2043 i lp=430</v>
      </c>
    </row>
    <row r="63" spans="1:34" ht="14.25">
      <c r="A63" s="75">
        <v>440</v>
      </c>
      <c r="B63" s="233" t="s">
        <v>344</v>
      </c>
      <c r="C63" s="13" t="s">
        <v>130</v>
      </c>
      <c r="D63" s="13" t="str">
        <f t="shared" si="11"/>
        <v>rokprognozy=2013 i lp=440</v>
      </c>
      <c r="E63" s="13" t="str">
        <f t="shared" si="11"/>
        <v>rokprognozy=2014 i lp=440</v>
      </c>
      <c r="F63" s="13" t="str">
        <f t="shared" si="11"/>
        <v>rokprognozy=2015 i lp=440</v>
      </c>
      <c r="G63" s="13" t="str">
        <f t="shared" si="11"/>
        <v>rokprognozy=2016 i lp=440</v>
      </c>
      <c r="H63" s="13" t="str">
        <f t="shared" si="11"/>
        <v>rokprognozy=2017 i lp=440</v>
      </c>
      <c r="I63" s="13" t="str">
        <f t="shared" si="11"/>
        <v>rokprognozy=2018 i lp=440</v>
      </c>
      <c r="J63" s="13" t="str">
        <f t="shared" si="11"/>
        <v>rokprognozy=2019 i lp=440</v>
      </c>
      <c r="K63" s="13" t="str">
        <f t="shared" si="11"/>
        <v>rokprognozy=2020 i lp=440</v>
      </c>
      <c r="L63" s="13" t="str">
        <f t="shared" si="11"/>
        <v>rokprognozy=2021 i lp=440</v>
      </c>
      <c r="M63" s="13" t="str">
        <f t="shared" si="11"/>
        <v>rokprognozy=2022 i lp=440</v>
      </c>
      <c r="N63" s="13" t="str">
        <f t="shared" si="11"/>
        <v>rokprognozy=2023 i lp=440</v>
      </c>
      <c r="O63" s="13" t="str">
        <f t="shared" si="11"/>
        <v>rokprognozy=2024 i lp=440</v>
      </c>
      <c r="P63" s="13" t="str">
        <f t="shared" si="11"/>
        <v>rokprognozy=2025 i lp=440</v>
      </c>
      <c r="Q63" s="13" t="str">
        <f t="shared" si="11"/>
        <v>rokprognozy=2026 i lp=440</v>
      </c>
      <c r="R63" s="13" t="str">
        <f t="shared" si="11"/>
        <v>rokprognozy=2027 i lp=440</v>
      </c>
      <c r="S63" s="13" t="str">
        <f t="shared" si="11"/>
        <v>rokprognozy=2028 i lp=440</v>
      </c>
      <c r="T63" s="13" t="str">
        <f t="shared" si="10"/>
        <v>rokprognozy=2029 i lp=440</v>
      </c>
      <c r="U63" s="13" t="str">
        <f t="shared" si="10"/>
        <v>rokprognozy=2030 i lp=440</v>
      </c>
      <c r="V63" s="13" t="str">
        <f t="shared" si="10"/>
        <v>rokprognozy=2031 i lp=440</v>
      </c>
      <c r="W63" s="13" t="str">
        <f t="shared" si="10"/>
        <v>rokprognozy=2032 i lp=440</v>
      </c>
      <c r="X63" s="13" t="str">
        <f t="shared" si="10"/>
        <v>rokprognozy=2033 i lp=440</v>
      </c>
      <c r="Y63" s="13" t="str">
        <f t="shared" si="10"/>
        <v>rokprognozy=2034 i lp=440</v>
      </c>
      <c r="Z63" s="13" t="str">
        <f t="shared" si="10"/>
        <v>rokprognozy=2035 i lp=440</v>
      </c>
      <c r="AA63" s="13" t="str">
        <f t="shared" si="10"/>
        <v>rokprognozy=2036 i lp=440</v>
      </c>
      <c r="AB63" s="13" t="str">
        <f t="shared" si="10"/>
        <v>rokprognozy=2037 i lp=440</v>
      </c>
      <c r="AC63" s="13" t="str">
        <f t="shared" si="10"/>
        <v>rokprognozy=2038 i lp=440</v>
      </c>
      <c r="AD63" s="13" t="str">
        <f t="shared" si="10"/>
        <v>rokprognozy=2039 i lp=440</v>
      </c>
      <c r="AE63" s="13" t="str">
        <f t="shared" si="10"/>
        <v>rokprognozy=2040 i lp=440</v>
      </c>
      <c r="AF63" s="13" t="str">
        <f t="shared" si="10"/>
        <v>rokprognozy=2041 i lp=440</v>
      </c>
      <c r="AG63" s="13" t="str">
        <f t="shared" si="10"/>
        <v>rokprognozy=2042 i lp=440</v>
      </c>
      <c r="AH63" s="13" t="str">
        <f t="shared" si="10"/>
        <v>rokprognozy=2043 i lp=440</v>
      </c>
    </row>
    <row r="64" spans="1:34" ht="14.25">
      <c r="A64" s="75">
        <v>450</v>
      </c>
      <c r="B64" s="26" t="s">
        <v>131</v>
      </c>
      <c r="C64" s="13" t="s">
        <v>52</v>
      </c>
      <c r="D64" s="13" t="str">
        <f t="shared" si="11"/>
        <v>rokprognozy=2013 i lp=450</v>
      </c>
      <c r="E64" s="13" t="str">
        <f t="shared" si="11"/>
        <v>rokprognozy=2014 i lp=450</v>
      </c>
      <c r="F64" s="13" t="str">
        <f t="shared" si="11"/>
        <v>rokprognozy=2015 i lp=450</v>
      </c>
      <c r="G64" s="13" t="str">
        <f t="shared" si="11"/>
        <v>rokprognozy=2016 i lp=450</v>
      </c>
      <c r="H64" s="13" t="str">
        <f t="shared" si="11"/>
        <v>rokprognozy=2017 i lp=450</v>
      </c>
      <c r="I64" s="13" t="str">
        <f t="shared" si="11"/>
        <v>rokprognozy=2018 i lp=450</v>
      </c>
      <c r="J64" s="13" t="str">
        <f t="shared" si="11"/>
        <v>rokprognozy=2019 i lp=450</v>
      </c>
      <c r="K64" s="13" t="str">
        <f t="shared" si="11"/>
        <v>rokprognozy=2020 i lp=450</v>
      </c>
      <c r="L64" s="13" t="str">
        <f t="shared" si="11"/>
        <v>rokprognozy=2021 i lp=450</v>
      </c>
      <c r="M64" s="13" t="str">
        <f t="shared" si="11"/>
        <v>rokprognozy=2022 i lp=450</v>
      </c>
      <c r="N64" s="13" t="str">
        <f t="shared" si="11"/>
        <v>rokprognozy=2023 i lp=450</v>
      </c>
      <c r="O64" s="13" t="str">
        <f t="shared" si="11"/>
        <v>rokprognozy=2024 i lp=450</v>
      </c>
      <c r="P64" s="13" t="str">
        <f t="shared" si="11"/>
        <v>rokprognozy=2025 i lp=450</v>
      </c>
      <c r="Q64" s="13" t="str">
        <f t="shared" si="11"/>
        <v>rokprognozy=2026 i lp=450</v>
      </c>
      <c r="R64" s="13" t="str">
        <f t="shared" si="11"/>
        <v>rokprognozy=2027 i lp=450</v>
      </c>
      <c r="S64" s="13" t="str">
        <f t="shared" si="11"/>
        <v>rokprognozy=2028 i lp=450</v>
      </c>
      <c r="T64" s="13" t="str">
        <f t="shared" si="10"/>
        <v>rokprognozy=2029 i lp=450</v>
      </c>
      <c r="U64" s="13" t="str">
        <f t="shared" si="10"/>
        <v>rokprognozy=2030 i lp=450</v>
      </c>
      <c r="V64" s="13" t="str">
        <f t="shared" si="10"/>
        <v>rokprognozy=2031 i lp=450</v>
      </c>
      <c r="W64" s="13" t="str">
        <f t="shared" si="10"/>
        <v>rokprognozy=2032 i lp=450</v>
      </c>
      <c r="X64" s="13" t="str">
        <f t="shared" si="10"/>
        <v>rokprognozy=2033 i lp=450</v>
      </c>
      <c r="Y64" s="13" t="str">
        <f t="shared" si="10"/>
        <v>rokprognozy=2034 i lp=450</v>
      </c>
      <c r="Z64" s="13" t="str">
        <f t="shared" si="10"/>
        <v>rokprognozy=2035 i lp=450</v>
      </c>
      <c r="AA64" s="13" t="str">
        <f t="shared" si="10"/>
        <v>rokprognozy=2036 i lp=450</v>
      </c>
      <c r="AB64" s="13" t="str">
        <f t="shared" si="10"/>
        <v>rokprognozy=2037 i lp=450</v>
      </c>
      <c r="AC64" s="13" t="str">
        <f t="shared" si="10"/>
        <v>rokprognozy=2038 i lp=450</v>
      </c>
      <c r="AD64" s="13" t="str">
        <f t="shared" si="10"/>
        <v>rokprognozy=2039 i lp=450</v>
      </c>
      <c r="AE64" s="13" t="str">
        <f t="shared" si="10"/>
        <v>rokprognozy=2040 i lp=450</v>
      </c>
      <c r="AF64" s="13" t="str">
        <f t="shared" si="10"/>
        <v>rokprognozy=2041 i lp=450</v>
      </c>
      <c r="AG64" s="13" t="str">
        <f t="shared" si="10"/>
        <v>rokprognozy=2042 i lp=450</v>
      </c>
      <c r="AH64" s="13" t="str">
        <f t="shared" si="10"/>
        <v>rokprognozy=2043 i lp=450</v>
      </c>
    </row>
    <row r="65" spans="1:34" ht="14.25">
      <c r="A65" s="75">
        <v>451</v>
      </c>
      <c r="B65" s="26" t="s">
        <v>262</v>
      </c>
      <c r="C65" s="13" t="s">
        <v>287</v>
      </c>
      <c r="D65" s="13" t="str">
        <f t="shared" si="11"/>
        <v>rokprognozy=2013 i lp=451</v>
      </c>
      <c r="E65" s="13" t="str">
        <f t="shared" si="11"/>
        <v>rokprognozy=2014 i lp=451</v>
      </c>
      <c r="F65" s="13" t="str">
        <f t="shared" si="11"/>
        <v>rokprognozy=2015 i lp=451</v>
      </c>
      <c r="G65" s="13" t="str">
        <f t="shared" si="11"/>
        <v>rokprognozy=2016 i lp=451</v>
      </c>
      <c r="H65" s="13" t="str">
        <f t="shared" si="11"/>
        <v>rokprognozy=2017 i lp=451</v>
      </c>
      <c r="I65" s="13" t="str">
        <f t="shared" si="11"/>
        <v>rokprognozy=2018 i lp=451</v>
      </c>
      <c r="J65" s="13" t="str">
        <f t="shared" si="11"/>
        <v>rokprognozy=2019 i lp=451</v>
      </c>
      <c r="K65" s="13" t="str">
        <f t="shared" si="11"/>
        <v>rokprognozy=2020 i lp=451</v>
      </c>
      <c r="L65" s="13" t="str">
        <f t="shared" si="11"/>
        <v>rokprognozy=2021 i lp=451</v>
      </c>
      <c r="M65" s="13" t="str">
        <f t="shared" si="11"/>
        <v>rokprognozy=2022 i lp=451</v>
      </c>
      <c r="N65" s="13" t="str">
        <f t="shared" si="11"/>
        <v>rokprognozy=2023 i lp=451</v>
      </c>
      <c r="O65" s="13" t="str">
        <f t="shared" si="11"/>
        <v>rokprognozy=2024 i lp=451</v>
      </c>
      <c r="P65" s="13" t="str">
        <f t="shared" si="11"/>
        <v>rokprognozy=2025 i lp=451</v>
      </c>
      <c r="Q65" s="13" t="str">
        <f t="shared" si="11"/>
        <v>rokprognozy=2026 i lp=451</v>
      </c>
      <c r="R65" s="13" t="str">
        <f t="shared" si="11"/>
        <v>rokprognozy=2027 i lp=451</v>
      </c>
      <c r="S65" s="13" t="str">
        <f t="shared" si="11"/>
        <v>rokprognozy=2028 i lp=451</v>
      </c>
      <c r="T65" s="13" t="str">
        <f t="shared" si="10"/>
        <v>rokprognozy=2029 i lp=451</v>
      </c>
      <c r="U65" s="13" t="str">
        <f t="shared" si="10"/>
        <v>rokprognozy=2030 i lp=451</v>
      </c>
      <c r="V65" s="13" t="str">
        <f t="shared" si="10"/>
        <v>rokprognozy=2031 i lp=451</v>
      </c>
      <c r="W65" s="13" t="str">
        <f t="shared" si="10"/>
        <v>rokprognozy=2032 i lp=451</v>
      </c>
      <c r="X65" s="13" t="str">
        <f t="shared" si="10"/>
        <v>rokprognozy=2033 i lp=451</v>
      </c>
      <c r="Y65" s="13" t="str">
        <f t="shared" si="10"/>
        <v>rokprognozy=2034 i lp=451</v>
      </c>
      <c r="Z65" s="13" t="str">
        <f t="shared" si="10"/>
        <v>rokprognozy=2035 i lp=451</v>
      </c>
      <c r="AA65" s="13" t="str">
        <f t="shared" si="10"/>
        <v>rokprognozy=2036 i lp=451</v>
      </c>
      <c r="AB65" s="13" t="str">
        <f t="shared" si="10"/>
        <v>rokprognozy=2037 i lp=451</v>
      </c>
      <c r="AC65" s="13" t="str">
        <f t="shared" si="10"/>
        <v>rokprognozy=2038 i lp=451</v>
      </c>
      <c r="AD65" s="13" t="str">
        <f t="shared" si="10"/>
        <v>rokprognozy=2039 i lp=451</v>
      </c>
      <c r="AE65" s="13" t="str">
        <f t="shared" si="10"/>
        <v>rokprognozy=2040 i lp=451</v>
      </c>
      <c r="AF65" s="13" t="str">
        <f t="shared" si="10"/>
        <v>rokprognozy=2041 i lp=451</v>
      </c>
      <c r="AG65" s="13" t="str">
        <f t="shared" si="10"/>
        <v>rokprognozy=2042 i lp=451</v>
      </c>
      <c r="AH65" s="13" t="str">
        <f t="shared" si="10"/>
        <v>rokprognozy=2043 i lp=451</v>
      </c>
    </row>
    <row r="66" spans="1:34" ht="14.25">
      <c r="A66" s="75">
        <v>460</v>
      </c>
      <c r="B66" s="233" t="s">
        <v>345</v>
      </c>
      <c r="C66" s="13" t="s">
        <v>288</v>
      </c>
      <c r="D66" s="13" t="str">
        <f t="shared" si="11"/>
        <v>rokprognozy=2013 i lp=460</v>
      </c>
      <c r="E66" s="13" t="str">
        <f t="shared" si="11"/>
        <v>rokprognozy=2014 i lp=460</v>
      </c>
      <c r="F66" s="13" t="str">
        <f t="shared" si="11"/>
        <v>rokprognozy=2015 i lp=460</v>
      </c>
      <c r="G66" s="13" t="str">
        <f t="shared" si="11"/>
        <v>rokprognozy=2016 i lp=460</v>
      </c>
      <c r="H66" s="13" t="str">
        <f t="shared" si="11"/>
        <v>rokprognozy=2017 i lp=460</v>
      </c>
      <c r="I66" s="13" t="str">
        <f t="shared" si="11"/>
        <v>rokprognozy=2018 i lp=460</v>
      </c>
      <c r="J66" s="13" t="str">
        <f t="shared" si="11"/>
        <v>rokprognozy=2019 i lp=460</v>
      </c>
      <c r="K66" s="13" t="str">
        <f t="shared" si="11"/>
        <v>rokprognozy=2020 i lp=460</v>
      </c>
      <c r="L66" s="13" t="str">
        <f t="shared" si="11"/>
        <v>rokprognozy=2021 i lp=460</v>
      </c>
      <c r="M66" s="13" t="str">
        <f t="shared" si="11"/>
        <v>rokprognozy=2022 i lp=460</v>
      </c>
      <c r="N66" s="13" t="str">
        <f t="shared" si="11"/>
        <v>rokprognozy=2023 i lp=460</v>
      </c>
      <c r="O66" s="13" t="str">
        <f t="shared" si="11"/>
        <v>rokprognozy=2024 i lp=460</v>
      </c>
      <c r="P66" s="13" t="str">
        <f t="shared" si="11"/>
        <v>rokprognozy=2025 i lp=460</v>
      </c>
      <c r="Q66" s="13" t="str">
        <f t="shared" si="11"/>
        <v>rokprognozy=2026 i lp=460</v>
      </c>
      <c r="R66" s="13" t="str">
        <f t="shared" si="11"/>
        <v>rokprognozy=2027 i lp=460</v>
      </c>
      <c r="S66" s="13" t="str">
        <f t="shared" si="11"/>
        <v>rokprognozy=2028 i lp=460</v>
      </c>
      <c r="T66" s="13" t="str">
        <f t="shared" si="10"/>
        <v>rokprognozy=2029 i lp=460</v>
      </c>
      <c r="U66" s="13" t="str">
        <f t="shared" si="10"/>
        <v>rokprognozy=2030 i lp=460</v>
      </c>
      <c r="V66" s="13" t="str">
        <f t="shared" si="10"/>
        <v>rokprognozy=2031 i lp=460</v>
      </c>
      <c r="W66" s="13" t="str">
        <f t="shared" si="10"/>
        <v>rokprognozy=2032 i lp=460</v>
      </c>
      <c r="X66" s="13" t="str">
        <f t="shared" si="10"/>
        <v>rokprognozy=2033 i lp=460</v>
      </c>
      <c r="Y66" s="13" t="str">
        <f t="shared" si="10"/>
        <v>rokprognozy=2034 i lp=460</v>
      </c>
      <c r="Z66" s="13" t="str">
        <f t="shared" si="10"/>
        <v>rokprognozy=2035 i lp=460</v>
      </c>
      <c r="AA66" s="13" t="str">
        <f t="shared" si="10"/>
        <v>rokprognozy=2036 i lp=460</v>
      </c>
      <c r="AB66" s="13" t="str">
        <f t="shared" si="10"/>
        <v>rokprognozy=2037 i lp=460</v>
      </c>
      <c r="AC66" s="13" t="str">
        <f t="shared" si="10"/>
        <v>rokprognozy=2038 i lp=460</v>
      </c>
      <c r="AD66" s="13" t="str">
        <f t="shared" si="10"/>
        <v>rokprognozy=2039 i lp=460</v>
      </c>
      <c r="AE66" s="13" t="str">
        <f t="shared" si="10"/>
        <v>rokprognozy=2040 i lp=460</v>
      </c>
      <c r="AF66" s="13" t="str">
        <f t="shared" si="10"/>
        <v>rokprognozy=2041 i lp=460</v>
      </c>
      <c r="AG66" s="13" t="str">
        <f t="shared" si="10"/>
        <v>rokprognozy=2042 i lp=460</v>
      </c>
      <c r="AH66" s="13" t="str">
        <f t="shared" si="10"/>
        <v>rokprognozy=2043 i lp=460</v>
      </c>
    </row>
    <row r="67" spans="1:34" ht="14.25">
      <c r="A67" s="75">
        <v>470</v>
      </c>
      <c r="B67" s="26" t="s">
        <v>132</v>
      </c>
      <c r="C67" s="13" t="s">
        <v>289</v>
      </c>
      <c r="D67" s="13" t="str">
        <f t="shared" si="11"/>
        <v>rokprognozy=2013 i lp=470</v>
      </c>
      <c r="E67" s="13" t="str">
        <f t="shared" si="11"/>
        <v>rokprognozy=2014 i lp=470</v>
      </c>
      <c r="F67" s="13" t="str">
        <f t="shared" si="11"/>
        <v>rokprognozy=2015 i lp=470</v>
      </c>
      <c r="G67" s="13" t="str">
        <f t="shared" si="11"/>
        <v>rokprognozy=2016 i lp=470</v>
      </c>
      <c r="H67" s="13" t="str">
        <f t="shared" si="11"/>
        <v>rokprognozy=2017 i lp=470</v>
      </c>
      <c r="I67" s="13" t="str">
        <f t="shared" si="11"/>
        <v>rokprognozy=2018 i lp=470</v>
      </c>
      <c r="J67" s="13" t="str">
        <f t="shared" si="11"/>
        <v>rokprognozy=2019 i lp=470</v>
      </c>
      <c r="K67" s="13" t="str">
        <f t="shared" si="11"/>
        <v>rokprognozy=2020 i lp=470</v>
      </c>
      <c r="L67" s="13" t="str">
        <f t="shared" si="11"/>
        <v>rokprognozy=2021 i lp=470</v>
      </c>
      <c r="M67" s="13" t="str">
        <f t="shared" si="11"/>
        <v>rokprognozy=2022 i lp=470</v>
      </c>
      <c r="N67" s="13" t="str">
        <f t="shared" si="11"/>
        <v>rokprognozy=2023 i lp=470</v>
      </c>
      <c r="O67" s="13" t="str">
        <f t="shared" si="11"/>
        <v>rokprognozy=2024 i lp=470</v>
      </c>
      <c r="P67" s="13" t="str">
        <f t="shared" si="11"/>
        <v>rokprognozy=2025 i lp=470</v>
      </c>
      <c r="Q67" s="13" t="str">
        <f t="shared" si="11"/>
        <v>rokprognozy=2026 i lp=470</v>
      </c>
      <c r="R67" s="13" t="str">
        <f t="shared" si="11"/>
        <v>rokprognozy=2027 i lp=470</v>
      </c>
      <c r="S67" s="13" t="str">
        <f t="shared" si="11"/>
        <v>rokprognozy=2028 i lp=470</v>
      </c>
      <c r="T67" s="13" t="str">
        <f t="shared" si="10"/>
        <v>rokprognozy=2029 i lp=470</v>
      </c>
      <c r="U67" s="13" t="str">
        <f t="shared" si="10"/>
        <v>rokprognozy=2030 i lp=470</v>
      </c>
      <c r="V67" s="13" t="str">
        <f t="shared" si="10"/>
        <v>rokprognozy=2031 i lp=470</v>
      </c>
      <c r="W67" s="13" t="str">
        <f t="shared" si="10"/>
        <v>rokprognozy=2032 i lp=470</v>
      </c>
      <c r="X67" s="13" t="str">
        <f t="shared" si="10"/>
        <v>rokprognozy=2033 i lp=470</v>
      </c>
      <c r="Y67" s="13" t="str">
        <f t="shared" si="10"/>
        <v>rokprognozy=2034 i lp=470</v>
      </c>
      <c r="Z67" s="13" t="str">
        <f t="shared" si="10"/>
        <v>rokprognozy=2035 i lp=470</v>
      </c>
      <c r="AA67" s="13" t="str">
        <f t="shared" si="10"/>
        <v>rokprognozy=2036 i lp=470</v>
      </c>
      <c r="AB67" s="13" t="str">
        <f t="shared" si="10"/>
        <v>rokprognozy=2037 i lp=470</v>
      </c>
      <c r="AC67" s="13" t="str">
        <f t="shared" si="10"/>
        <v>rokprognozy=2038 i lp=470</v>
      </c>
      <c r="AD67" s="13" t="str">
        <f t="shared" si="10"/>
        <v>rokprognozy=2039 i lp=470</v>
      </c>
      <c r="AE67" s="13" t="str">
        <f t="shared" si="10"/>
        <v>rokprognozy=2040 i lp=470</v>
      </c>
      <c r="AF67" s="13" t="str">
        <f t="shared" si="10"/>
        <v>rokprognozy=2041 i lp=470</v>
      </c>
      <c r="AG67" s="13" t="str">
        <f t="shared" si="10"/>
        <v>rokprognozy=2042 i lp=470</v>
      </c>
      <c r="AH67" s="13" t="str">
        <f t="shared" si="10"/>
        <v>rokprognozy=2043 i lp=470</v>
      </c>
    </row>
    <row r="68" spans="1:34" ht="14.25">
      <c r="A68" s="75">
        <v>471</v>
      </c>
      <c r="B68" s="26" t="s">
        <v>263</v>
      </c>
      <c r="C68" s="13" t="s">
        <v>290</v>
      </c>
      <c r="D68" s="13" t="str">
        <f t="shared" si="11"/>
        <v>rokprognozy=2013 i lp=471</v>
      </c>
      <c r="E68" s="13" t="str">
        <f t="shared" si="11"/>
        <v>rokprognozy=2014 i lp=471</v>
      </c>
      <c r="F68" s="13" t="str">
        <f t="shared" si="11"/>
        <v>rokprognozy=2015 i lp=471</v>
      </c>
      <c r="G68" s="13" t="str">
        <f t="shared" si="11"/>
        <v>rokprognozy=2016 i lp=471</v>
      </c>
      <c r="H68" s="13" t="str">
        <f t="shared" si="11"/>
        <v>rokprognozy=2017 i lp=471</v>
      </c>
      <c r="I68" s="13" t="str">
        <f t="shared" si="11"/>
        <v>rokprognozy=2018 i lp=471</v>
      </c>
      <c r="J68" s="13" t="str">
        <f t="shared" si="11"/>
        <v>rokprognozy=2019 i lp=471</v>
      </c>
      <c r="K68" s="13" t="str">
        <f t="shared" si="11"/>
        <v>rokprognozy=2020 i lp=471</v>
      </c>
      <c r="L68" s="13" t="str">
        <f t="shared" si="11"/>
        <v>rokprognozy=2021 i lp=471</v>
      </c>
      <c r="M68" s="13" t="str">
        <f t="shared" si="11"/>
        <v>rokprognozy=2022 i lp=471</v>
      </c>
      <c r="N68" s="13" t="str">
        <f t="shared" si="11"/>
        <v>rokprognozy=2023 i lp=471</v>
      </c>
      <c r="O68" s="13" t="str">
        <f t="shared" si="11"/>
        <v>rokprognozy=2024 i lp=471</v>
      </c>
      <c r="P68" s="13" t="str">
        <f t="shared" si="11"/>
        <v>rokprognozy=2025 i lp=471</v>
      </c>
      <c r="Q68" s="13" t="str">
        <f t="shared" si="11"/>
        <v>rokprognozy=2026 i lp=471</v>
      </c>
      <c r="R68" s="13" t="str">
        <f t="shared" si="11"/>
        <v>rokprognozy=2027 i lp=471</v>
      </c>
      <c r="S68" s="13" t="str">
        <f t="shared" si="11"/>
        <v>rokprognozy=2028 i lp=471</v>
      </c>
      <c r="T68" s="13" t="str">
        <f t="shared" si="10"/>
        <v>rokprognozy=2029 i lp=471</v>
      </c>
      <c r="U68" s="13" t="str">
        <f t="shared" si="10"/>
        <v>rokprognozy=2030 i lp=471</v>
      </c>
      <c r="V68" s="13" t="str">
        <f t="shared" si="10"/>
        <v>rokprognozy=2031 i lp=471</v>
      </c>
      <c r="W68" s="13" t="str">
        <f t="shared" si="10"/>
        <v>rokprognozy=2032 i lp=471</v>
      </c>
      <c r="X68" s="13" t="str">
        <f t="shared" si="10"/>
        <v>rokprognozy=2033 i lp=471</v>
      </c>
      <c r="Y68" s="13" t="str">
        <f t="shared" si="10"/>
        <v>rokprognozy=2034 i lp=471</v>
      </c>
      <c r="Z68" s="13" t="str">
        <f t="shared" si="10"/>
        <v>rokprognozy=2035 i lp=471</v>
      </c>
      <c r="AA68" s="13" t="str">
        <f t="shared" si="10"/>
        <v>rokprognozy=2036 i lp=471</v>
      </c>
      <c r="AB68" s="13" t="str">
        <f t="shared" si="10"/>
        <v>rokprognozy=2037 i lp=471</v>
      </c>
      <c r="AC68" s="13" t="str">
        <f t="shared" si="10"/>
        <v>rokprognozy=2038 i lp=471</v>
      </c>
      <c r="AD68" s="13" t="str">
        <f t="shared" si="10"/>
        <v>rokprognozy=2039 i lp=471</v>
      </c>
      <c r="AE68" s="13" t="str">
        <f t="shared" si="10"/>
        <v>rokprognozy=2040 i lp=471</v>
      </c>
      <c r="AF68" s="13" t="str">
        <f t="shared" si="10"/>
        <v>rokprognozy=2041 i lp=471</v>
      </c>
      <c r="AG68" s="13" t="str">
        <f t="shared" si="10"/>
        <v>rokprognozy=2042 i lp=471</v>
      </c>
      <c r="AH68" s="13" t="str">
        <f t="shared" si="10"/>
        <v>rokprognozy=2043 i lp=471</v>
      </c>
    </row>
    <row r="69" spans="1:34" ht="14.25">
      <c r="A69" s="75">
        <v>480</v>
      </c>
      <c r="B69" s="233" t="s">
        <v>346</v>
      </c>
      <c r="C69" s="13" t="s">
        <v>291</v>
      </c>
      <c r="D69" s="13" t="str">
        <f t="shared" si="11"/>
        <v>rokprognozy=2013 i lp=480</v>
      </c>
      <c r="E69" s="13" t="str">
        <f t="shared" si="11"/>
        <v>rokprognozy=2014 i lp=480</v>
      </c>
      <c r="F69" s="13" t="str">
        <f t="shared" si="11"/>
        <v>rokprognozy=2015 i lp=480</v>
      </c>
      <c r="G69" s="13" t="str">
        <f t="shared" si="11"/>
        <v>rokprognozy=2016 i lp=480</v>
      </c>
      <c r="H69" s="13" t="str">
        <f t="shared" si="11"/>
        <v>rokprognozy=2017 i lp=480</v>
      </c>
      <c r="I69" s="13" t="str">
        <f t="shared" si="11"/>
        <v>rokprognozy=2018 i lp=480</v>
      </c>
      <c r="J69" s="13" t="str">
        <f t="shared" si="11"/>
        <v>rokprognozy=2019 i lp=480</v>
      </c>
      <c r="K69" s="13" t="str">
        <f t="shared" si="11"/>
        <v>rokprognozy=2020 i lp=480</v>
      </c>
      <c r="L69" s="13" t="str">
        <f t="shared" si="11"/>
        <v>rokprognozy=2021 i lp=480</v>
      </c>
      <c r="M69" s="13" t="str">
        <f t="shared" si="11"/>
        <v>rokprognozy=2022 i lp=480</v>
      </c>
      <c r="N69" s="13" t="str">
        <f t="shared" si="11"/>
        <v>rokprognozy=2023 i lp=480</v>
      </c>
      <c r="O69" s="13" t="str">
        <f t="shared" si="11"/>
        <v>rokprognozy=2024 i lp=480</v>
      </c>
      <c r="P69" s="13" t="str">
        <f t="shared" si="11"/>
        <v>rokprognozy=2025 i lp=480</v>
      </c>
      <c r="Q69" s="13" t="str">
        <f t="shared" si="11"/>
        <v>rokprognozy=2026 i lp=480</v>
      </c>
      <c r="R69" s="13" t="str">
        <f t="shared" si="11"/>
        <v>rokprognozy=2027 i lp=480</v>
      </c>
      <c r="S69" s="13" t="str">
        <f t="shared" si="11"/>
        <v>rokprognozy=2028 i lp=480</v>
      </c>
      <c r="T69" s="13" t="str">
        <f t="shared" si="10"/>
        <v>rokprognozy=2029 i lp=480</v>
      </c>
      <c r="U69" s="13" t="str">
        <f t="shared" si="10"/>
        <v>rokprognozy=2030 i lp=480</v>
      </c>
      <c r="V69" s="13" t="str">
        <f t="shared" si="10"/>
        <v>rokprognozy=2031 i lp=480</v>
      </c>
      <c r="W69" s="13" t="str">
        <f t="shared" si="10"/>
        <v>rokprognozy=2032 i lp=480</v>
      </c>
      <c r="X69" s="13" t="str">
        <f t="shared" si="10"/>
        <v>rokprognozy=2033 i lp=480</v>
      </c>
      <c r="Y69" s="13" t="str">
        <f t="shared" si="10"/>
        <v>rokprognozy=2034 i lp=480</v>
      </c>
      <c r="Z69" s="13" t="str">
        <f t="shared" si="10"/>
        <v>rokprognozy=2035 i lp=480</v>
      </c>
      <c r="AA69" s="13" t="str">
        <f t="shared" si="10"/>
        <v>rokprognozy=2036 i lp=480</v>
      </c>
      <c r="AB69" s="13" t="str">
        <f t="shared" si="10"/>
        <v>rokprognozy=2037 i lp=480</v>
      </c>
      <c r="AC69" s="13" t="str">
        <f t="shared" si="10"/>
        <v>rokprognozy=2038 i lp=480</v>
      </c>
      <c r="AD69" s="13" t="str">
        <f t="shared" si="10"/>
        <v>rokprognozy=2039 i lp=480</v>
      </c>
      <c r="AE69" s="13" t="str">
        <f t="shared" si="10"/>
        <v>rokprognozy=2040 i lp=480</v>
      </c>
      <c r="AF69" s="13" t="str">
        <f t="shared" si="10"/>
        <v>rokprognozy=2041 i lp=480</v>
      </c>
      <c r="AG69" s="13" t="str">
        <f t="shared" si="10"/>
        <v>rokprognozy=2042 i lp=480</v>
      </c>
      <c r="AH69" s="13" t="str">
        <f t="shared" si="10"/>
        <v>rokprognozy=2043 i lp=480</v>
      </c>
    </row>
    <row r="70" spans="1:34" ht="14.25">
      <c r="A70" s="75">
        <v>490</v>
      </c>
      <c r="B70" s="26" t="s">
        <v>133</v>
      </c>
      <c r="C70" s="13" t="s">
        <v>292</v>
      </c>
      <c r="D70" s="13" t="str">
        <f t="shared" si="11"/>
        <v>rokprognozy=2013 i lp=490</v>
      </c>
      <c r="E70" s="13" t="str">
        <f t="shared" si="11"/>
        <v>rokprognozy=2014 i lp=490</v>
      </c>
      <c r="F70" s="13" t="str">
        <f t="shared" si="11"/>
        <v>rokprognozy=2015 i lp=490</v>
      </c>
      <c r="G70" s="13" t="str">
        <f t="shared" si="11"/>
        <v>rokprognozy=2016 i lp=490</v>
      </c>
      <c r="H70" s="13" t="str">
        <f t="shared" si="11"/>
        <v>rokprognozy=2017 i lp=490</v>
      </c>
      <c r="I70" s="13" t="str">
        <f t="shared" si="11"/>
        <v>rokprognozy=2018 i lp=490</v>
      </c>
      <c r="J70" s="13" t="str">
        <f t="shared" si="11"/>
        <v>rokprognozy=2019 i lp=490</v>
      </c>
      <c r="K70" s="13" t="str">
        <f t="shared" si="11"/>
        <v>rokprognozy=2020 i lp=490</v>
      </c>
      <c r="L70" s="13" t="str">
        <f t="shared" si="11"/>
        <v>rokprognozy=2021 i lp=490</v>
      </c>
      <c r="M70" s="13" t="str">
        <f t="shared" si="11"/>
        <v>rokprognozy=2022 i lp=490</v>
      </c>
      <c r="N70" s="13" t="str">
        <f t="shared" si="11"/>
        <v>rokprognozy=2023 i lp=490</v>
      </c>
      <c r="O70" s="13" t="str">
        <f t="shared" si="11"/>
        <v>rokprognozy=2024 i lp=490</v>
      </c>
      <c r="P70" s="13" t="str">
        <f t="shared" si="11"/>
        <v>rokprognozy=2025 i lp=490</v>
      </c>
      <c r="Q70" s="13" t="str">
        <f t="shared" si="11"/>
        <v>rokprognozy=2026 i lp=490</v>
      </c>
      <c r="R70" s="13" t="str">
        <f t="shared" si="11"/>
        <v>rokprognozy=2027 i lp=490</v>
      </c>
      <c r="S70" s="13" t="str">
        <f t="shared" si="11"/>
        <v>rokprognozy=2028 i lp=490</v>
      </c>
      <c r="T70" s="13" t="str">
        <f t="shared" si="10"/>
        <v>rokprognozy=2029 i lp=490</v>
      </c>
      <c r="U70" s="13" t="str">
        <f t="shared" si="10"/>
        <v>rokprognozy=2030 i lp=490</v>
      </c>
      <c r="V70" s="13" t="str">
        <f t="shared" si="10"/>
        <v>rokprognozy=2031 i lp=490</v>
      </c>
      <c r="W70" s="13" t="str">
        <f t="shared" si="10"/>
        <v>rokprognozy=2032 i lp=490</v>
      </c>
      <c r="X70" s="13" t="str">
        <f t="shared" si="10"/>
        <v>rokprognozy=2033 i lp=490</v>
      </c>
      <c r="Y70" s="13" t="str">
        <f t="shared" si="10"/>
        <v>rokprognozy=2034 i lp=490</v>
      </c>
      <c r="Z70" s="13" t="str">
        <f t="shared" si="10"/>
        <v>rokprognozy=2035 i lp=490</v>
      </c>
      <c r="AA70" s="13" t="str">
        <f t="shared" si="10"/>
        <v>rokprognozy=2036 i lp=490</v>
      </c>
      <c r="AB70" s="13" t="str">
        <f t="shared" si="10"/>
        <v>rokprognozy=2037 i lp=490</v>
      </c>
      <c r="AC70" s="13" t="str">
        <f t="shared" si="10"/>
        <v>rokprognozy=2038 i lp=490</v>
      </c>
      <c r="AD70" s="13" t="str">
        <f t="shared" si="10"/>
        <v>rokprognozy=2039 i lp=490</v>
      </c>
      <c r="AE70" s="13" t="str">
        <f t="shared" si="10"/>
        <v>rokprognozy=2040 i lp=490</v>
      </c>
      <c r="AF70" s="13" t="str">
        <f t="shared" si="10"/>
        <v>rokprognozy=2041 i lp=490</v>
      </c>
      <c r="AG70" s="13" t="str">
        <f t="shared" si="10"/>
        <v>rokprognozy=2042 i lp=490</v>
      </c>
      <c r="AH70" s="13" t="str">
        <f t="shared" si="10"/>
        <v>rokprognozy=2043 i lp=490</v>
      </c>
    </row>
    <row r="71" spans="1:34" ht="14.25">
      <c r="A71" s="75">
        <v>491</v>
      </c>
      <c r="B71" s="26" t="s">
        <v>264</v>
      </c>
      <c r="C71" s="13" t="s">
        <v>293</v>
      </c>
      <c r="D71" s="13" t="str">
        <f t="shared" si="11"/>
        <v>rokprognozy=2013 i lp=491</v>
      </c>
      <c r="E71" s="13" t="str">
        <f t="shared" si="11"/>
        <v>rokprognozy=2014 i lp=491</v>
      </c>
      <c r="F71" s="13" t="str">
        <f t="shared" si="11"/>
        <v>rokprognozy=2015 i lp=491</v>
      </c>
      <c r="G71" s="13" t="str">
        <f t="shared" si="11"/>
        <v>rokprognozy=2016 i lp=491</v>
      </c>
      <c r="H71" s="13" t="str">
        <f t="shared" si="11"/>
        <v>rokprognozy=2017 i lp=491</v>
      </c>
      <c r="I71" s="13" t="str">
        <f t="shared" si="11"/>
        <v>rokprognozy=2018 i lp=491</v>
      </c>
      <c r="J71" s="13" t="str">
        <f t="shared" si="11"/>
        <v>rokprognozy=2019 i lp=491</v>
      </c>
      <c r="K71" s="13" t="str">
        <f t="shared" si="11"/>
        <v>rokprognozy=2020 i lp=491</v>
      </c>
      <c r="L71" s="13" t="str">
        <f t="shared" si="11"/>
        <v>rokprognozy=2021 i lp=491</v>
      </c>
      <c r="M71" s="13" t="str">
        <f t="shared" si="11"/>
        <v>rokprognozy=2022 i lp=491</v>
      </c>
      <c r="N71" s="13" t="str">
        <f t="shared" si="11"/>
        <v>rokprognozy=2023 i lp=491</v>
      </c>
      <c r="O71" s="13" t="str">
        <f t="shared" si="11"/>
        <v>rokprognozy=2024 i lp=491</v>
      </c>
      <c r="P71" s="13" t="str">
        <f t="shared" si="11"/>
        <v>rokprognozy=2025 i lp=491</v>
      </c>
      <c r="Q71" s="13" t="str">
        <f t="shared" si="11"/>
        <v>rokprognozy=2026 i lp=491</v>
      </c>
      <c r="R71" s="13" t="str">
        <f t="shared" si="11"/>
        <v>rokprognozy=2027 i lp=491</v>
      </c>
      <c r="S71" s="13" t="str">
        <f aca="true" t="shared" si="12" ref="S71:AH79">+"rokprognozy="&amp;S$6&amp;" i lp="&amp;$A71</f>
        <v>rokprognozy=2028 i lp=491</v>
      </c>
      <c r="T71" s="13" t="str">
        <f t="shared" si="12"/>
        <v>rokprognozy=2029 i lp=491</v>
      </c>
      <c r="U71" s="13" t="str">
        <f t="shared" si="12"/>
        <v>rokprognozy=2030 i lp=491</v>
      </c>
      <c r="V71" s="13" t="str">
        <f t="shared" si="12"/>
        <v>rokprognozy=2031 i lp=491</v>
      </c>
      <c r="W71" s="13" t="str">
        <f t="shared" si="12"/>
        <v>rokprognozy=2032 i lp=491</v>
      </c>
      <c r="X71" s="13" t="str">
        <f t="shared" si="12"/>
        <v>rokprognozy=2033 i lp=491</v>
      </c>
      <c r="Y71" s="13" t="str">
        <f t="shared" si="12"/>
        <v>rokprognozy=2034 i lp=491</v>
      </c>
      <c r="Z71" s="13" t="str">
        <f t="shared" si="12"/>
        <v>rokprognozy=2035 i lp=491</v>
      </c>
      <c r="AA71" s="13" t="str">
        <f t="shared" si="12"/>
        <v>rokprognozy=2036 i lp=491</v>
      </c>
      <c r="AB71" s="13" t="str">
        <f t="shared" si="12"/>
        <v>rokprognozy=2037 i lp=491</v>
      </c>
      <c r="AC71" s="13" t="str">
        <f t="shared" si="12"/>
        <v>rokprognozy=2038 i lp=491</v>
      </c>
      <c r="AD71" s="13" t="str">
        <f t="shared" si="12"/>
        <v>rokprognozy=2039 i lp=491</v>
      </c>
      <c r="AE71" s="13" t="str">
        <f t="shared" si="12"/>
        <v>rokprognozy=2040 i lp=491</v>
      </c>
      <c r="AF71" s="13" t="str">
        <f t="shared" si="12"/>
        <v>rokprognozy=2041 i lp=491</v>
      </c>
      <c r="AG71" s="13" t="str">
        <f t="shared" si="12"/>
        <v>rokprognozy=2042 i lp=491</v>
      </c>
      <c r="AH71" s="13" t="str">
        <f t="shared" si="12"/>
        <v>rokprognozy=2043 i lp=491</v>
      </c>
    </row>
    <row r="72" spans="1:34" ht="14.25">
      <c r="A72" s="75">
        <v>500</v>
      </c>
      <c r="B72" s="233" t="s">
        <v>347</v>
      </c>
      <c r="C72" s="13" t="s">
        <v>59</v>
      </c>
      <c r="D72" s="13" t="str">
        <f aca="true" t="shared" si="13" ref="D72:R79">+"rokprognozy="&amp;D$6&amp;" i lp="&amp;$A72</f>
        <v>rokprognozy=2013 i lp=500</v>
      </c>
      <c r="E72" s="13" t="str">
        <f t="shared" si="13"/>
        <v>rokprognozy=2014 i lp=500</v>
      </c>
      <c r="F72" s="13" t="str">
        <f t="shared" si="13"/>
        <v>rokprognozy=2015 i lp=500</v>
      </c>
      <c r="G72" s="13" t="str">
        <f t="shared" si="13"/>
        <v>rokprognozy=2016 i lp=500</v>
      </c>
      <c r="H72" s="13" t="str">
        <f t="shared" si="13"/>
        <v>rokprognozy=2017 i lp=500</v>
      </c>
      <c r="I72" s="13" t="str">
        <f t="shared" si="13"/>
        <v>rokprognozy=2018 i lp=500</v>
      </c>
      <c r="J72" s="13" t="str">
        <f t="shared" si="13"/>
        <v>rokprognozy=2019 i lp=500</v>
      </c>
      <c r="K72" s="13" t="str">
        <f t="shared" si="13"/>
        <v>rokprognozy=2020 i lp=500</v>
      </c>
      <c r="L72" s="13" t="str">
        <f t="shared" si="13"/>
        <v>rokprognozy=2021 i lp=500</v>
      </c>
      <c r="M72" s="13" t="str">
        <f t="shared" si="13"/>
        <v>rokprognozy=2022 i lp=500</v>
      </c>
      <c r="N72" s="13" t="str">
        <f t="shared" si="13"/>
        <v>rokprognozy=2023 i lp=500</v>
      </c>
      <c r="O72" s="13" t="str">
        <f t="shared" si="13"/>
        <v>rokprognozy=2024 i lp=500</v>
      </c>
      <c r="P72" s="13" t="str">
        <f t="shared" si="13"/>
        <v>rokprognozy=2025 i lp=500</v>
      </c>
      <c r="Q72" s="13" t="str">
        <f t="shared" si="13"/>
        <v>rokprognozy=2026 i lp=500</v>
      </c>
      <c r="R72" s="13" t="str">
        <f t="shared" si="13"/>
        <v>rokprognozy=2027 i lp=500</v>
      </c>
      <c r="S72" s="13" t="str">
        <f t="shared" si="12"/>
        <v>rokprognozy=2028 i lp=500</v>
      </c>
      <c r="T72" s="13" t="str">
        <f t="shared" si="12"/>
        <v>rokprognozy=2029 i lp=500</v>
      </c>
      <c r="U72" s="13" t="str">
        <f t="shared" si="12"/>
        <v>rokprognozy=2030 i lp=500</v>
      </c>
      <c r="V72" s="13" t="str">
        <f t="shared" si="12"/>
        <v>rokprognozy=2031 i lp=500</v>
      </c>
      <c r="W72" s="13" t="str">
        <f t="shared" si="12"/>
        <v>rokprognozy=2032 i lp=500</v>
      </c>
      <c r="X72" s="13" t="str">
        <f t="shared" si="12"/>
        <v>rokprognozy=2033 i lp=500</v>
      </c>
      <c r="Y72" s="13" t="str">
        <f t="shared" si="12"/>
        <v>rokprognozy=2034 i lp=500</v>
      </c>
      <c r="Z72" s="13" t="str">
        <f t="shared" si="12"/>
        <v>rokprognozy=2035 i lp=500</v>
      </c>
      <c r="AA72" s="13" t="str">
        <f t="shared" si="12"/>
        <v>rokprognozy=2036 i lp=500</v>
      </c>
      <c r="AB72" s="13" t="str">
        <f t="shared" si="12"/>
        <v>rokprognozy=2037 i lp=500</v>
      </c>
      <c r="AC72" s="13" t="str">
        <f t="shared" si="12"/>
        <v>rokprognozy=2038 i lp=500</v>
      </c>
      <c r="AD72" s="13" t="str">
        <f t="shared" si="12"/>
        <v>rokprognozy=2039 i lp=500</v>
      </c>
      <c r="AE72" s="13" t="str">
        <f t="shared" si="12"/>
        <v>rokprognozy=2040 i lp=500</v>
      </c>
      <c r="AF72" s="13" t="str">
        <f t="shared" si="12"/>
        <v>rokprognozy=2041 i lp=500</v>
      </c>
      <c r="AG72" s="13" t="str">
        <f t="shared" si="12"/>
        <v>rokprognozy=2042 i lp=500</v>
      </c>
      <c r="AH72" s="13" t="str">
        <f t="shared" si="12"/>
        <v>rokprognozy=2043 i lp=500</v>
      </c>
    </row>
    <row r="73" spans="1:34" ht="14.25">
      <c r="A73" s="75">
        <v>510</v>
      </c>
      <c r="B73" s="233" t="s">
        <v>348</v>
      </c>
      <c r="C73" s="13" t="s">
        <v>294</v>
      </c>
      <c r="D73" s="13" t="str">
        <f t="shared" si="13"/>
        <v>rokprognozy=2013 i lp=510</v>
      </c>
      <c r="E73" s="13" t="str">
        <f t="shared" si="13"/>
        <v>rokprognozy=2014 i lp=510</v>
      </c>
      <c r="F73" s="13" t="str">
        <f t="shared" si="13"/>
        <v>rokprognozy=2015 i lp=510</v>
      </c>
      <c r="G73" s="13" t="str">
        <f t="shared" si="13"/>
        <v>rokprognozy=2016 i lp=510</v>
      </c>
      <c r="H73" s="13" t="str">
        <f t="shared" si="13"/>
        <v>rokprognozy=2017 i lp=510</v>
      </c>
      <c r="I73" s="13" t="str">
        <f t="shared" si="13"/>
        <v>rokprognozy=2018 i lp=510</v>
      </c>
      <c r="J73" s="13" t="str">
        <f t="shared" si="13"/>
        <v>rokprognozy=2019 i lp=510</v>
      </c>
      <c r="K73" s="13" t="str">
        <f t="shared" si="13"/>
        <v>rokprognozy=2020 i lp=510</v>
      </c>
      <c r="L73" s="13" t="str">
        <f t="shared" si="13"/>
        <v>rokprognozy=2021 i lp=510</v>
      </c>
      <c r="M73" s="13" t="str">
        <f t="shared" si="13"/>
        <v>rokprognozy=2022 i lp=510</v>
      </c>
      <c r="N73" s="13" t="str">
        <f t="shared" si="13"/>
        <v>rokprognozy=2023 i lp=510</v>
      </c>
      <c r="O73" s="13" t="str">
        <f t="shared" si="13"/>
        <v>rokprognozy=2024 i lp=510</v>
      </c>
      <c r="P73" s="13" t="str">
        <f t="shared" si="13"/>
        <v>rokprognozy=2025 i lp=510</v>
      </c>
      <c r="Q73" s="13" t="str">
        <f t="shared" si="13"/>
        <v>rokprognozy=2026 i lp=510</v>
      </c>
      <c r="R73" s="13" t="str">
        <f t="shared" si="13"/>
        <v>rokprognozy=2027 i lp=510</v>
      </c>
      <c r="S73" s="13" t="str">
        <f t="shared" si="12"/>
        <v>rokprognozy=2028 i lp=510</v>
      </c>
      <c r="T73" s="13" t="str">
        <f t="shared" si="12"/>
        <v>rokprognozy=2029 i lp=510</v>
      </c>
      <c r="U73" s="13" t="str">
        <f t="shared" si="12"/>
        <v>rokprognozy=2030 i lp=510</v>
      </c>
      <c r="V73" s="13" t="str">
        <f t="shared" si="12"/>
        <v>rokprognozy=2031 i lp=510</v>
      </c>
      <c r="W73" s="13" t="str">
        <f t="shared" si="12"/>
        <v>rokprognozy=2032 i lp=510</v>
      </c>
      <c r="X73" s="13" t="str">
        <f t="shared" si="12"/>
        <v>rokprognozy=2033 i lp=510</v>
      </c>
      <c r="Y73" s="13" t="str">
        <f t="shared" si="12"/>
        <v>rokprognozy=2034 i lp=510</v>
      </c>
      <c r="Z73" s="13" t="str">
        <f t="shared" si="12"/>
        <v>rokprognozy=2035 i lp=510</v>
      </c>
      <c r="AA73" s="13" t="str">
        <f t="shared" si="12"/>
        <v>rokprognozy=2036 i lp=510</v>
      </c>
      <c r="AB73" s="13" t="str">
        <f t="shared" si="12"/>
        <v>rokprognozy=2037 i lp=510</v>
      </c>
      <c r="AC73" s="13" t="str">
        <f t="shared" si="12"/>
        <v>rokprognozy=2038 i lp=510</v>
      </c>
      <c r="AD73" s="13" t="str">
        <f t="shared" si="12"/>
        <v>rokprognozy=2039 i lp=510</v>
      </c>
      <c r="AE73" s="13" t="str">
        <f t="shared" si="12"/>
        <v>rokprognozy=2040 i lp=510</v>
      </c>
      <c r="AF73" s="13" t="str">
        <f t="shared" si="12"/>
        <v>rokprognozy=2041 i lp=510</v>
      </c>
      <c r="AG73" s="13" t="str">
        <f t="shared" si="12"/>
        <v>rokprognozy=2042 i lp=510</v>
      </c>
      <c r="AH73" s="13" t="str">
        <f t="shared" si="12"/>
        <v>rokprognozy=2043 i lp=510</v>
      </c>
    </row>
    <row r="74" spans="1:34" ht="14.25">
      <c r="A74" s="75">
        <v>520</v>
      </c>
      <c r="B74" s="233" t="s">
        <v>349</v>
      </c>
      <c r="C74" s="13" t="s">
        <v>48</v>
      </c>
      <c r="D74" s="13" t="str">
        <f t="shared" si="13"/>
        <v>rokprognozy=2013 i lp=520</v>
      </c>
      <c r="E74" s="13" t="str">
        <f t="shared" si="13"/>
        <v>rokprognozy=2014 i lp=520</v>
      </c>
      <c r="F74" s="13" t="str">
        <f t="shared" si="13"/>
        <v>rokprognozy=2015 i lp=520</v>
      </c>
      <c r="G74" s="13" t="str">
        <f t="shared" si="13"/>
        <v>rokprognozy=2016 i lp=520</v>
      </c>
      <c r="H74" s="13" t="str">
        <f t="shared" si="13"/>
        <v>rokprognozy=2017 i lp=520</v>
      </c>
      <c r="I74" s="13" t="str">
        <f t="shared" si="13"/>
        <v>rokprognozy=2018 i lp=520</v>
      </c>
      <c r="J74" s="13" t="str">
        <f t="shared" si="13"/>
        <v>rokprognozy=2019 i lp=520</v>
      </c>
      <c r="K74" s="13" t="str">
        <f t="shared" si="13"/>
        <v>rokprognozy=2020 i lp=520</v>
      </c>
      <c r="L74" s="13" t="str">
        <f t="shared" si="13"/>
        <v>rokprognozy=2021 i lp=520</v>
      </c>
      <c r="M74" s="13" t="str">
        <f t="shared" si="13"/>
        <v>rokprognozy=2022 i lp=520</v>
      </c>
      <c r="N74" s="13" t="str">
        <f t="shared" si="13"/>
        <v>rokprognozy=2023 i lp=520</v>
      </c>
      <c r="O74" s="13" t="str">
        <f t="shared" si="13"/>
        <v>rokprognozy=2024 i lp=520</v>
      </c>
      <c r="P74" s="13" t="str">
        <f t="shared" si="13"/>
        <v>rokprognozy=2025 i lp=520</v>
      </c>
      <c r="Q74" s="13" t="str">
        <f t="shared" si="13"/>
        <v>rokprognozy=2026 i lp=520</v>
      </c>
      <c r="R74" s="13" t="str">
        <f t="shared" si="13"/>
        <v>rokprognozy=2027 i lp=520</v>
      </c>
      <c r="S74" s="13" t="str">
        <f t="shared" si="12"/>
        <v>rokprognozy=2028 i lp=520</v>
      </c>
      <c r="T74" s="13" t="str">
        <f t="shared" si="12"/>
        <v>rokprognozy=2029 i lp=520</v>
      </c>
      <c r="U74" s="13" t="str">
        <f t="shared" si="12"/>
        <v>rokprognozy=2030 i lp=520</v>
      </c>
      <c r="V74" s="13" t="str">
        <f t="shared" si="12"/>
        <v>rokprognozy=2031 i lp=520</v>
      </c>
      <c r="W74" s="13" t="str">
        <f t="shared" si="12"/>
        <v>rokprognozy=2032 i lp=520</v>
      </c>
      <c r="X74" s="13" t="str">
        <f t="shared" si="12"/>
        <v>rokprognozy=2033 i lp=520</v>
      </c>
      <c r="Y74" s="13" t="str">
        <f t="shared" si="12"/>
        <v>rokprognozy=2034 i lp=520</v>
      </c>
      <c r="Z74" s="13" t="str">
        <f t="shared" si="12"/>
        <v>rokprognozy=2035 i lp=520</v>
      </c>
      <c r="AA74" s="13" t="str">
        <f t="shared" si="12"/>
        <v>rokprognozy=2036 i lp=520</v>
      </c>
      <c r="AB74" s="13" t="str">
        <f t="shared" si="12"/>
        <v>rokprognozy=2037 i lp=520</v>
      </c>
      <c r="AC74" s="13" t="str">
        <f t="shared" si="12"/>
        <v>rokprognozy=2038 i lp=520</v>
      </c>
      <c r="AD74" s="13" t="str">
        <f t="shared" si="12"/>
        <v>rokprognozy=2039 i lp=520</v>
      </c>
      <c r="AE74" s="13" t="str">
        <f t="shared" si="12"/>
        <v>rokprognozy=2040 i lp=520</v>
      </c>
      <c r="AF74" s="13" t="str">
        <f t="shared" si="12"/>
        <v>rokprognozy=2041 i lp=520</v>
      </c>
      <c r="AG74" s="13" t="str">
        <f t="shared" si="12"/>
        <v>rokprognozy=2042 i lp=520</v>
      </c>
      <c r="AH74" s="13" t="str">
        <f t="shared" si="12"/>
        <v>rokprognozy=2043 i lp=520</v>
      </c>
    </row>
    <row r="75" spans="1:34" ht="14.25">
      <c r="A75" s="75">
        <v>530</v>
      </c>
      <c r="B75" s="233" t="s">
        <v>350</v>
      </c>
      <c r="C75" s="13" t="s">
        <v>58</v>
      </c>
      <c r="D75" s="13" t="str">
        <f t="shared" si="13"/>
        <v>rokprognozy=2013 i lp=530</v>
      </c>
      <c r="E75" s="13" t="str">
        <f t="shared" si="13"/>
        <v>rokprognozy=2014 i lp=530</v>
      </c>
      <c r="F75" s="13" t="str">
        <f t="shared" si="13"/>
        <v>rokprognozy=2015 i lp=530</v>
      </c>
      <c r="G75" s="13" t="str">
        <f t="shared" si="13"/>
        <v>rokprognozy=2016 i lp=530</v>
      </c>
      <c r="H75" s="13" t="str">
        <f t="shared" si="13"/>
        <v>rokprognozy=2017 i lp=530</v>
      </c>
      <c r="I75" s="13" t="str">
        <f t="shared" si="13"/>
        <v>rokprognozy=2018 i lp=530</v>
      </c>
      <c r="J75" s="13" t="str">
        <f t="shared" si="13"/>
        <v>rokprognozy=2019 i lp=530</v>
      </c>
      <c r="K75" s="13" t="str">
        <f t="shared" si="13"/>
        <v>rokprognozy=2020 i lp=530</v>
      </c>
      <c r="L75" s="13" t="str">
        <f t="shared" si="13"/>
        <v>rokprognozy=2021 i lp=530</v>
      </c>
      <c r="M75" s="13" t="str">
        <f t="shared" si="13"/>
        <v>rokprognozy=2022 i lp=530</v>
      </c>
      <c r="N75" s="13" t="str">
        <f t="shared" si="13"/>
        <v>rokprognozy=2023 i lp=530</v>
      </c>
      <c r="O75" s="13" t="str">
        <f t="shared" si="13"/>
        <v>rokprognozy=2024 i lp=530</v>
      </c>
      <c r="P75" s="13" t="str">
        <f t="shared" si="13"/>
        <v>rokprognozy=2025 i lp=530</v>
      </c>
      <c r="Q75" s="13" t="str">
        <f t="shared" si="13"/>
        <v>rokprognozy=2026 i lp=530</v>
      </c>
      <c r="R75" s="13" t="str">
        <f t="shared" si="13"/>
        <v>rokprognozy=2027 i lp=530</v>
      </c>
      <c r="S75" s="13" t="str">
        <f t="shared" si="12"/>
        <v>rokprognozy=2028 i lp=530</v>
      </c>
      <c r="T75" s="13" t="str">
        <f t="shared" si="12"/>
        <v>rokprognozy=2029 i lp=530</v>
      </c>
      <c r="U75" s="13" t="str">
        <f t="shared" si="12"/>
        <v>rokprognozy=2030 i lp=530</v>
      </c>
      <c r="V75" s="13" t="str">
        <f t="shared" si="12"/>
        <v>rokprognozy=2031 i lp=530</v>
      </c>
      <c r="W75" s="13" t="str">
        <f t="shared" si="12"/>
        <v>rokprognozy=2032 i lp=530</v>
      </c>
      <c r="X75" s="13" t="str">
        <f t="shared" si="12"/>
        <v>rokprognozy=2033 i lp=530</v>
      </c>
      <c r="Y75" s="13" t="str">
        <f t="shared" si="12"/>
        <v>rokprognozy=2034 i lp=530</v>
      </c>
      <c r="Z75" s="13" t="str">
        <f t="shared" si="12"/>
        <v>rokprognozy=2035 i lp=530</v>
      </c>
      <c r="AA75" s="13" t="str">
        <f t="shared" si="12"/>
        <v>rokprognozy=2036 i lp=530</v>
      </c>
      <c r="AB75" s="13" t="str">
        <f t="shared" si="12"/>
        <v>rokprognozy=2037 i lp=530</v>
      </c>
      <c r="AC75" s="13" t="str">
        <f t="shared" si="12"/>
        <v>rokprognozy=2038 i lp=530</v>
      </c>
      <c r="AD75" s="13" t="str">
        <f t="shared" si="12"/>
        <v>rokprognozy=2039 i lp=530</v>
      </c>
      <c r="AE75" s="13" t="str">
        <f t="shared" si="12"/>
        <v>rokprognozy=2040 i lp=530</v>
      </c>
      <c r="AF75" s="13" t="str">
        <f t="shared" si="12"/>
        <v>rokprognozy=2041 i lp=530</v>
      </c>
      <c r="AG75" s="13" t="str">
        <f t="shared" si="12"/>
        <v>rokprognozy=2042 i lp=530</v>
      </c>
      <c r="AH75" s="13" t="str">
        <f t="shared" si="12"/>
        <v>rokprognozy=2043 i lp=530</v>
      </c>
    </row>
    <row r="76" spans="1:34" ht="14.25">
      <c r="A76" s="75">
        <v>540</v>
      </c>
      <c r="B76" s="233" t="s">
        <v>351</v>
      </c>
      <c r="C76" s="13" t="s">
        <v>45</v>
      </c>
      <c r="D76" s="13" t="str">
        <f t="shared" si="13"/>
        <v>rokprognozy=2013 i lp=540</v>
      </c>
      <c r="E76" s="13" t="str">
        <f t="shared" si="13"/>
        <v>rokprognozy=2014 i lp=540</v>
      </c>
      <c r="F76" s="13" t="str">
        <f t="shared" si="13"/>
        <v>rokprognozy=2015 i lp=540</v>
      </c>
      <c r="G76" s="13" t="str">
        <f t="shared" si="13"/>
        <v>rokprognozy=2016 i lp=540</v>
      </c>
      <c r="H76" s="13" t="str">
        <f t="shared" si="13"/>
        <v>rokprognozy=2017 i lp=540</v>
      </c>
      <c r="I76" s="13" t="str">
        <f t="shared" si="13"/>
        <v>rokprognozy=2018 i lp=540</v>
      </c>
      <c r="J76" s="13" t="str">
        <f t="shared" si="13"/>
        <v>rokprognozy=2019 i lp=540</v>
      </c>
      <c r="K76" s="13" t="str">
        <f t="shared" si="13"/>
        <v>rokprognozy=2020 i lp=540</v>
      </c>
      <c r="L76" s="13" t="str">
        <f t="shared" si="13"/>
        <v>rokprognozy=2021 i lp=540</v>
      </c>
      <c r="M76" s="13" t="str">
        <f t="shared" si="13"/>
        <v>rokprognozy=2022 i lp=540</v>
      </c>
      <c r="N76" s="13" t="str">
        <f t="shared" si="13"/>
        <v>rokprognozy=2023 i lp=540</v>
      </c>
      <c r="O76" s="13" t="str">
        <f t="shared" si="13"/>
        <v>rokprognozy=2024 i lp=540</v>
      </c>
      <c r="P76" s="13" t="str">
        <f t="shared" si="13"/>
        <v>rokprognozy=2025 i lp=540</v>
      </c>
      <c r="Q76" s="13" t="str">
        <f t="shared" si="13"/>
        <v>rokprognozy=2026 i lp=540</v>
      </c>
      <c r="R76" s="13" t="str">
        <f t="shared" si="13"/>
        <v>rokprognozy=2027 i lp=540</v>
      </c>
      <c r="S76" s="13" t="str">
        <f t="shared" si="12"/>
        <v>rokprognozy=2028 i lp=540</v>
      </c>
      <c r="T76" s="13" t="str">
        <f t="shared" si="12"/>
        <v>rokprognozy=2029 i lp=540</v>
      </c>
      <c r="U76" s="13" t="str">
        <f t="shared" si="12"/>
        <v>rokprognozy=2030 i lp=540</v>
      </c>
      <c r="V76" s="13" t="str">
        <f t="shared" si="12"/>
        <v>rokprognozy=2031 i lp=540</v>
      </c>
      <c r="W76" s="13" t="str">
        <f t="shared" si="12"/>
        <v>rokprognozy=2032 i lp=540</v>
      </c>
      <c r="X76" s="13" t="str">
        <f t="shared" si="12"/>
        <v>rokprognozy=2033 i lp=540</v>
      </c>
      <c r="Y76" s="13" t="str">
        <f t="shared" si="12"/>
        <v>rokprognozy=2034 i lp=540</v>
      </c>
      <c r="Z76" s="13" t="str">
        <f t="shared" si="12"/>
        <v>rokprognozy=2035 i lp=540</v>
      </c>
      <c r="AA76" s="13" t="str">
        <f t="shared" si="12"/>
        <v>rokprognozy=2036 i lp=540</v>
      </c>
      <c r="AB76" s="13" t="str">
        <f t="shared" si="12"/>
        <v>rokprognozy=2037 i lp=540</v>
      </c>
      <c r="AC76" s="13" t="str">
        <f t="shared" si="12"/>
        <v>rokprognozy=2038 i lp=540</v>
      </c>
      <c r="AD76" s="13" t="str">
        <f t="shared" si="12"/>
        <v>rokprognozy=2039 i lp=540</v>
      </c>
      <c r="AE76" s="13" t="str">
        <f t="shared" si="12"/>
        <v>rokprognozy=2040 i lp=540</v>
      </c>
      <c r="AF76" s="13" t="str">
        <f t="shared" si="12"/>
        <v>rokprognozy=2041 i lp=540</v>
      </c>
      <c r="AG76" s="13" t="str">
        <f t="shared" si="12"/>
        <v>rokprognozy=2042 i lp=540</v>
      </c>
      <c r="AH76" s="13" t="str">
        <f t="shared" si="12"/>
        <v>rokprognozy=2043 i lp=540</v>
      </c>
    </row>
    <row r="77" spans="1:34" ht="14.25">
      <c r="A77" s="75">
        <v>550</v>
      </c>
      <c r="B77" s="233" t="s">
        <v>352</v>
      </c>
      <c r="C77" s="13" t="s">
        <v>47</v>
      </c>
      <c r="D77" s="13" t="str">
        <f t="shared" si="13"/>
        <v>rokprognozy=2013 i lp=550</v>
      </c>
      <c r="E77" s="13" t="str">
        <f t="shared" si="13"/>
        <v>rokprognozy=2014 i lp=550</v>
      </c>
      <c r="F77" s="13" t="str">
        <f t="shared" si="13"/>
        <v>rokprognozy=2015 i lp=550</v>
      </c>
      <c r="G77" s="13" t="str">
        <f t="shared" si="13"/>
        <v>rokprognozy=2016 i lp=550</v>
      </c>
      <c r="H77" s="13" t="str">
        <f t="shared" si="13"/>
        <v>rokprognozy=2017 i lp=550</v>
      </c>
      <c r="I77" s="13" t="str">
        <f t="shared" si="13"/>
        <v>rokprognozy=2018 i lp=550</v>
      </c>
      <c r="J77" s="13" t="str">
        <f t="shared" si="13"/>
        <v>rokprognozy=2019 i lp=550</v>
      </c>
      <c r="K77" s="13" t="str">
        <f t="shared" si="13"/>
        <v>rokprognozy=2020 i lp=550</v>
      </c>
      <c r="L77" s="13" t="str">
        <f t="shared" si="13"/>
        <v>rokprognozy=2021 i lp=550</v>
      </c>
      <c r="M77" s="13" t="str">
        <f t="shared" si="13"/>
        <v>rokprognozy=2022 i lp=550</v>
      </c>
      <c r="N77" s="13" t="str">
        <f t="shared" si="13"/>
        <v>rokprognozy=2023 i lp=550</v>
      </c>
      <c r="O77" s="13" t="str">
        <f t="shared" si="13"/>
        <v>rokprognozy=2024 i lp=550</v>
      </c>
      <c r="P77" s="13" t="str">
        <f t="shared" si="13"/>
        <v>rokprognozy=2025 i lp=550</v>
      </c>
      <c r="Q77" s="13" t="str">
        <f t="shared" si="13"/>
        <v>rokprognozy=2026 i lp=550</v>
      </c>
      <c r="R77" s="13" t="str">
        <f t="shared" si="13"/>
        <v>rokprognozy=2027 i lp=550</v>
      </c>
      <c r="S77" s="13" t="str">
        <f t="shared" si="12"/>
        <v>rokprognozy=2028 i lp=550</v>
      </c>
      <c r="T77" s="13" t="str">
        <f t="shared" si="12"/>
        <v>rokprognozy=2029 i lp=550</v>
      </c>
      <c r="U77" s="13" t="str">
        <f t="shared" si="12"/>
        <v>rokprognozy=2030 i lp=550</v>
      </c>
      <c r="V77" s="13" t="str">
        <f t="shared" si="12"/>
        <v>rokprognozy=2031 i lp=550</v>
      </c>
      <c r="W77" s="13" t="str">
        <f t="shared" si="12"/>
        <v>rokprognozy=2032 i lp=550</v>
      </c>
      <c r="X77" s="13" t="str">
        <f t="shared" si="12"/>
        <v>rokprognozy=2033 i lp=550</v>
      </c>
      <c r="Y77" s="13" t="str">
        <f t="shared" si="12"/>
        <v>rokprognozy=2034 i lp=550</v>
      </c>
      <c r="Z77" s="13" t="str">
        <f t="shared" si="12"/>
        <v>rokprognozy=2035 i lp=550</v>
      </c>
      <c r="AA77" s="13" t="str">
        <f t="shared" si="12"/>
        <v>rokprognozy=2036 i lp=550</v>
      </c>
      <c r="AB77" s="13" t="str">
        <f t="shared" si="12"/>
        <v>rokprognozy=2037 i lp=550</v>
      </c>
      <c r="AC77" s="13" t="str">
        <f t="shared" si="12"/>
        <v>rokprognozy=2038 i lp=550</v>
      </c>
      <c r="AD77" s="13" t="str">
        <f t="shared" si="12"/>
        <v>rokprognozy=2039 i lp=550</v>
      </c>
      <c r="AE77" s="13" t="str">
        <f t="shared" si="12"/>
        <v>rokprognozy=2040 i lp=550</v>
      </c>
      <c r="AF77" s="13" t="str">
        <f t="shared" si="12"/>
        <v>rokprognozy=2041 i lp=550</v>
      </c>
      <c r="AG77" s="13" t="str">
        <f t="shared" si="12"/>
        <v>rokprognozy=2042 i lp=550</v>
      </c>
      <c r="AH77" s="13" t="str">
        <f t="shared" si="12"/>
        <v>rokprognozy=2043 i lp=550</v>
      </c>
    </row>
    <row r="78" spans="1:34" ht="14.25">
      <c r="A78" s="75">
        <v>560</v>
      </c>
      <c r="B78" s="233" t="s">
        <v>353</v>
      </c>
      <c r="C78" s="13" t="s">
        <v>49</v>
      </c>
      <c r="D78" s="13" t="str">
        <f t="shared" si="13"/>
        <v>rokprognozy=2013 i lp=560</v>
      </c>
      <c r="E78" s="13" t="str">
        <f t="shared" si="13"/>
        <v>rokprognozy=2014 i lp=560</v>
      </c>
      <c r="F78" s="13" t="str">
        <f t="shared" si="13"/>
        <v>rokprognozy=2015 i lp=560</v>
      </c>
      <c r="G78" s="13" t="str">
        <f t="shared" si="13"/>
        <v>rokprognozy=2016 i lp=560</v>
      </c>
      <c r="H78" s="13" t="str">
        <f t="shared" si="13"/>
        <v>rokprognozy=2017 i lp=560</v>
      </c>
      <c r="I78" s="13" t="str">
        <f t="shared" si="13"/>
        <v>rokprognozy=2018 i lp=560</v>
      </c>
      <c r="J78" s="13" t="str">
        <f t="shared" si="13"/>
        <v>rokprognozy=2019 i lp=560</v>
      </c>
      <c r="K78" s="13" t="str">
        <f t="shared" si="13"/>
        <v>rokprognozy=2020 i lp=560</v>
      </c>
      <c r="L78" s="13" t="str">
        <f t="shared" si="13"/>
        <v>rokprognozy=2021 i lp=560</v>
      </c>
      <c r="M78" s="13" t="str">
        <f t="shared" si="13"/>
        <v>rokprognozy=2022 i lp=560</v>
      </c>
      <c r="N78" s="13" t="str">
        <f t="shared" si="13"/>
        <v>rokprognozy=2023 i lp=560</v>
      </c>
      <c r="O78" s="13" t="str">
        <f t="shared" si="13"/>
        <v>rokprognozy=2024 i lp=560</v>
      </c>
      <c r="P78" s="13" t="str">
        <f t="shared" si="13"/>
        <v>rokprognozy=2025 i lp=560</v>
      </c>
      <c r="Q78" s="13" t="str">
        <f t="shared" si="13"/>
        <v>rokprognozy=2026 i lp=560</v>
      </c>
      <c r="R78" s="13" t="str">
        <f t="shared" si="13"/>
        <v>rokprognozy=2027 i lp=560</v>
      </c>
      <c r="S78" s="13" t="str">
        <f t="shared" si="12"/>
        <v>rokprognozy=2028 i lp=560</v>
      </c>
      <c r="T78" s="13" t="str">
        <f t="shared" si="12"/>
        <v>rokprognozy=2029 i lp=560</v>
      </c>
      <c r="U78" s="13" t="str">
        <f t="shared" si="12"/>
        <v>rokprognozy=2030 i lp=560</v>
      </c>
      <c r="V78" s="13" t="str">
        <f t="shared" si="12"/>
        <v>rokprognozy=2031 i lp=560</v>
      </c>
      <c r="W78" s="13" t="str">
        <f t="shared" si="12"/>
        <v>rokprognozy=2032 i lp=560</v>
      </c>
      <c r="X78" s="13" t="str">
        <f t="shared" si="12"/>
        <v>rokprognozy=2033 i lp=560</v>
      </c>
      <c r="Y78" s="13" t="str">
        <f t="shared" si="12"/>
        <v>rokprognozy=2034 i lp=560</v>
      </c>
      <c r="Z78" s="13" t="str">
        <f t="shared" si="12"/>
        <v>rokprognozy=2035 i lp=560</v>
      </c>
      <c r="AA78" s="13" t="str">
        <f t="shared" si="12"/>
        <v>rokprognozy=2036 i lp=560</v>
      </c>
      <c r="AB78" s="13" t="str">
        <f t="shared" si="12"/>
        <v>rokprognozy=2037 i lp=560</v>
      </c>
      <c r="AC78" s="13" t="str">
        <f t="shared" si="12"/>
        <v>rokprognozy=2038 i lp=560</v>
      </c>
      <c r="AD78" s="13" t="str">
        <f t="shared" si="12"/>
        <v>rokprognozy=2039 i lp=560</v>
      </c>
      <c r="AE78" s="13" t="str">
        <f t="shared" si="12"/>
        <v>rokprognozy=2040 i lp=560</v>
      </c>
      <c r="AF78" s="13" t="str">
        <f t="shared" si="12"/>
        <v>rokprognozy=2041 i lp=560</v>
      </c>
      <c r="AG78" s="13" t="str">
        <f t="shared" si="12"/>
        <v>rokprognozy=2042 i lp=560</v>
      </c>
      <c r="AH78" s="13" t="str">
        <f t="shared" si="12"/>
        <v>rokprognozy=2043 i lp=560</v>
      </c>
    </row>
    <row r="79" spans="1:34" ht="14.25">
      <c r="A79" s="75">
        <v>570</v>
      </c>
      <c r="B79" s="233" t="s">
        <v>354</v>
      </c>
      <c r="C79" s="13" t="s">
        <v>295</v>
      </c>
      <c r="D79" s="13" t="str">
        <f t="shared" si="13"/>
        <v>rokprognozy=2013 i lp=570</v>
      </c>
      <c r="E79" s="13" t="str">
        <f t="shared" si="13"/>
        <v>rokprognozy=2014 i lp=570</v>
      </c>
      <c r="F79" s="13" t="str">
        <f t="shared" si="13"/>
        <v>rokprognozy=2015 i lp=570</v>
      </c>
      <c r="G79" s="13" t="str">
        <f t="shared" si="13"/>
        <v>rokprognozy=2016 i lp=570</v>
      </c>
      <c r="H79" s="13" t="str">
        <f t="shared" si="13"/>
        <v>rokprognozy=2017 i lp=570</v>
      </c>
      <c r="I79" s="13" t="str">
        <f t="shared" si="13"/>
        <v>rokprognozy=2018 i lp=570</v>
      </c>
      <c r="J79" s="13" t="str">
        <f t="shared" si="13"/>
        <v>rokprognozy=2019 i lp=570</v>
      </c>
      <c r="K79" s="13" t="str">
        <f t="shared" si="13"/>
        <v>rokprognozy=2020 i lp=570</v>
      </c>
      <c r="L79" s="13" t="str">
        <f t="shared" si="13"/>
        <v>rokprognozy=2021 i lp=570</v>
      </c>
      <c r="M79" s="13" t="str">
        <f t="shared" si="13"/>
        <v>rokprognozy=2022 i lp=570</v>
      </c>
      <c r="N79" s="13" t="str">
        <f t="shared" si="13"/>
        <v>rokprognozy=2023 i lp=570</v>
      </c>
      <c r="O79" s="13" t="str">
        <f t="shared" si="13"/>
        <v>rokprognozy=2024 i lp=570</v>
      </c>
      <c r="P79" s="13" t="str">
        <f t="shared" si="13"/>
        <v>rokprognozy=2025 i lp=570</v>
      </c>
      <c r="Q79" s="13" t="str">
        <f t="shared" si="13"/>
        <v>rokprognozy=2026 i lp=570</v>
      </c>
      <c r="R79" s="13" t="str">
        <f t="shared" si="13"/>
        <v>rokprognozy=2027 i lp=570</v>
      </c>
      <c r="S79" s="13" t="str">
        <f t="shared" si="12"/>
        <v>rokprognozy=2028 i lp=570</v>
      </c>
      <c r="T79" s="13" t="str">
        <f t="shared" si="12"/>
        <v>rokprognozy=2029 i lp=570</v>
      </c>
      <c r="U79" s="13" t="str">
        <f t="shared" si="12"/>
        <v>rokprognozy=2030 i lp=570</v>
      </c>
      <c r="V79" s="13" t="str">
        <f t="shared" si="12"/>
        <v>rokprognozy=2031 i lp=570</v>
      </c>
      <c r="W79" s="13" t="str">
        <f t="shared" si="12"/>
        <v>rokprognozy=2032 i lp=570</v>
      </c>
      <c r="X79" s="13" t="str">
        <f t="shared" si="12"/>
        <v>rokprognozy=2033 i lp=570</v>
      </c>
      <c r="Y79" s="13" t="str">
        <f t="shared" si="12"/>
        <v>rokprognozy=2034 i lp=570</v>
      </c>
      <c r="Z79" s="13" t="str">
        <f t="shared" si="12"/>
        <v>rokprognozy=2035 i lp=570</v>
      </c>
      <c r="AA79" s="13" t="str">
        <f t="shared" si="12"/>
        <v>rokprognozy=2036 i lp=570</v>
      </c>
      <c r="AB79" s="13" t="str">
        <f t="shared" si="12"/>
        <v>rokprognozy=2037 i lp=570</v>
      </c>
      <c r="AC79" s="13" t="str">
        <f t="shared" si="12"/>
        <v>rokprognozy=2038 i lp=570</v>
      </c>
      <c r="AD79" s="13" t="str">
        <f t="shared" si="12"/>
        <v>rokprognozy=2039 i lp=570</v>
      </c>
      <c r="AE79" s="13" t="str">
        <f t="shared" si="12"/>
        <v>rokprognozy=2040 i lp=570</v>
      </c>
      <c r="AF79" s="13" t="str">
        <f t="shared" si="12"/>
        <v>rokprognozy=2041 i lp=570</v>
      </c>
      <c r="AG79" s="13" t="str">
        <f t="shared" si="12"/>
        <v>rokprognozy=2042 i lp=570</v>
      </c>
      <c r="AH79" s="13" t="str">
        <f t="shared" si="12"/>
        <v>rokprognozy=2043 i lp=570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">
    <tabColor rgb="FF002060"/>
    <pageSetUpPr fitToPage="1"/>
  </sheetPr>
  <dimension ref="A1:AG85"/>
  <sheetViews>
    <sheetView showZeros="0" tabSelected="1" view="pageLayout" zoomScaleSheetLayoutView="100" workbookViewId="0" topLeftCell="A1">
      <selection activeCell="D1" sqref="D1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31" width="13.3984375" style="1" customWidth="1"/>
    <col min="32" max="33" width="13.3984375" style="2" customWidth="1"/>
  </cols>
  <sheetData>
    <row r="1" spans="3:9" ht="14.25">
      <c r="C1" s="14" t="s">
        <v>41</v>
      </c>
      <c r="D1" s="5" t="s">
        <v>415</v>
      </c>
      <c r="G1" s="15"/>
      <c r="H1" s="15"/>
      <c r="I1" s="15"/>
    </row>
    <row r="2" spans="1:9" ht="14.25">
      <c r="A2" s="12"/>
      <c r="C2" s="8" t="s">
        <v>39</v>
      </c>
      <c r="D2" s="9" t="str">
        <f>+"("&amp;DaneZrodlowe!D4&amp;") - "&amp;DaneZrodlowe!C4</f>
        <v>(1425062) - JEDLNIA-LETNISKO</v>
      </c>
      <c r="F2" s="5"/>
      <c r="G2" s="5"/>
      <c r="H2" s="5"/>
      <c r="I2" s="5"/>
    </row>
    <row r="3" spans="1:4" ht="14.25">
      <c r="A3" s="6"/>
      <c r="C3" s="7" t="s">
        <v>40</v>
      </c>
      <c r="D3" s="10" t="str">
        <f>+"2013-"&amp;MAX(DaneZrodlowe!L:L)</f>
        <v>2013-2022</v>
      </c>
    </row>
    <row r="4" ht="14.25">
      <c r="A4" s="6"/>
    </row>
    <row r="5" spans="1:33" ht="14.25">
      <c r="A5" s="117"/>
      <c r="B5" s="117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24"/>
      <c r="AG5" s="24"/>
    </row>
    <row r="6" spans="1:33" ht="14.25">
      <c r="A6" s="79" t="s">
        <v>0</v>
      </c>
      <c r="B6" s="80" t="s">
        <v>1</v>
      </c>
      <c r="C6" s="81" t="s">
        <v>243</v>
      </c>
      <c r="D6" s="81">
        <f>+C6+1</f>
        <v>2014</v>
      </c>
      <c r="E6" s="81">
        <f aca="true" t="shared" si="0" ref="E6:AG6">+D6+1</f>
        <v>2015</v>
      </c>
      <c r="F6" s="81">
        <f t="shared" si="0"/>
        <v>2016</v>
      </c>
      <c r="G6" s="81">
        <f t="shared" si="0"/>
        <v>2017</v>
      </c>
      <c r="H6" s="81">
        <f t="shared" si="0"/>
        <v>2018</v>
      </c>
      <c r="I6" s="81">
        <f t="shared" si="0"/>
        <v>2019</v>
      </c>
      <c r="J6" s="81">
        <f t="shared" si="0"/>
        <v>2020</v>
      </c>
      <c r="K6" s="81">
        <f t="shared" si="0"/>
        <v>2021</v>
      </c>
      <c r="L6" s="81">
        <f t="shared" si="0"/>
        <v>2022</v>
      </c>
      <c r="M6" s="81">
        <f t="shared" si="0"/>
        <v>2023</v>
      </c>
      <c r="N6" s="81">
        <f t="shared" si="0"/>
        <v>2024</v>
      </c>
      <c r="O6" s="81">
        <f t="shared" si="0"/>
        <v>2025</v>
      </c>
      <c r="P6" s="81">
        <f t="shared" si="0"/>
        <v>2026</v>
      </c>
      <c r="Q6" s="81">
        <f t="shared" si="0"/>
        <v>2027</v>
      </c>
      <c r="R6" s="81">
        <f t="shared" si="0"/>
        <v>2028</v>
      </c>
      <c r="S6" s="81">
        <f t="shared" si="0"/>
        <v>2029</v>
      </c>
      <c r="T6" s="81">
        <f t="shared" si="0"/>
        <v>2030</v>
      </c>
      <c r="U6" s="81">
        <f t="shared" si="0"/>
        <v>2031</v>
      </c>
      <c r="V6" s="81">
        <f t="shared" si="0"/>
        <v>2032</v>
      </c>
      <c r="W6" s="81">
        <f t="shared" si="0"/>
        <v>2033</v>
      </c>
      <c r="X6" s="81">
        <f t="shared" si="0"/>
        <v>2034</v>
      </c>
      <c r="Y6" s="81">
        <f t="shared" si="0"/>
        <v>2035</v>
      </c>
      <c r="Z6" s="81">
        <f t="shared" si="0"/>
        <v>2036</v>
      </c>
      <c r="AA6" s="81">
        <f t="shared" si="0"/>
        <v>2037</v>
      </c>
      <c r="AB6" s="81">
        <f t="shared" si="0"/>
        <v>2038</v>
      </c>
      <c r="AC6" s="81">
        <f t="shared" si="0"/>
        <v>2039</v>
      </c>
      <c r="AD6" s="81">
        <f t="shared" si="0"/>
        <v>2040</v>
      </c>
      <c r="AE6" s="81">
        <f t="shared" si="0"/>
        <v>2041</v>
      </c>
      <c r="AF6" s="81">
        <f t="shared" si="0"/>
        <v>2042</v>
      </c>
      <c r="AG6" s="81">
        <f t="shared" si="0"/>
        <v>2043</v>
      </c>
    </row>
    <row r="7" spans="1:33" s="286" customFormat="1" ht="15">
      <c r="A7" s="99">
        <v>1</v>
      </c>
      <c r="B7" s="100" t="s">
        <v>91</v>
      </c>
      <c r="C7" s="285">
        <f>32171429</f>
        <v>32171429</v>
      </c>
      <c r="D7" s="285">
        <f>31237363</f>
        <v>31237363</v>
      </c>
      <c r="E7" s="285">
        <f>31567274</f>
        <v>31567274</v>
      </c>
      <c r="F7" s="285">
        <f>34049571</f>
        <v>34049571</v>
      </c>
      <c r="G7" s="285">
        <f>33060241</f>
        <v>33060241</v>
      </c>
      <c r="H7" s="285">
        <f>33878223</f>
        <v>33878223</v>
      </c>
      <c r="I7" s="285">
        <f>34994570</f>
        <v>34994570</v>
      </c>
      <c r="J7" s="285">
        <f>35241407</f>
        <v>35241407</v>
      </c>
      <c r="K7" s="285">
        <f>37019649</f>
        <v>37019649</v>
      </c>
      <c r="L7" s="285">
        <f>38130238</f>
        <v>38130238</v>
      </c>
      <c r="M7" s="285">
        <f>0</f>
        <v>0</v>
      </c>
      <c r="N7" s="285">
        <f>0</f>
        <v>0</v>
      </c>
      <c r="O7" s="285">
        <f>0</f>
        <v>0</v>
      </c>
      <c r="P7" s="285">
        <f>0</f>
        <v>0</v>
      </c>
      <c r="Q7" s="285">
        <f>0</f>
        <v>0</v>
      </c>
      <c r="R7" s="285">
        <f>0</f>
        <v>0</v>
      </c>
      <c r="S7" s="285">
        <f>0</f>
        <v>0</v>
      </c>
      <c r="T7" s="285">
        <f>0</f>
        <v>0</v>
      </c>
      <c r="U7" s="285">
        <f>0</f>
        <v>0</v>
      </c>
      <c r="V7" s="285">
        <f>0</f>
        <v>0</v>
      </c>
      <c r="W7" s="285">
        <f>0</f>
        <v>0</v>
      </c>
      <c r="X7" s="285">
        <f>0</f>
        <v>0</v>
      </c>
      <c r="Y7" s="285">
        <f>0</f>
        <v>0</v>
      </c>
      <c r="Z7" s="285">
        <f>0</f>
        <v>0</v>
      </c>
      <c r="AA7" s="285">
        <f>0</f>
        <v>0</v>
      </c>
      <c r="AB7" s="285">
        <f>0</f>
        <v>0</v>
      </c>
      <c r="AC7" s="285">
        <f>0</f>
        <v>0</v>
      </c>
      <c r="AD7" s="285">
        <f>0</f>
        <v>0</v>
      </c>
      <c r="AE7" s="285">
        <f>0</f>
        <v>0</v>
      </c>
      <c r="AF7" s="285">
        <f>0</f>
        <v>0</v>
      </c>
      <c r="AG7" s="285">
        <f>0</f>
        <v>0</v>
      </c>
    </row>
    <row r="8" spans="1:33" ht="14.25">
      <c r="A8" s="85" t="s">
        <v>92</v>
      </c>
      <c r="B8" s="86" t="s">
        <v>360</v>
      </c>
      <c r="C8" s="241">
        <f>30469412</f>
        <v>30469412</v>
      </c>
      <c r="D8" s="241">
        <f>30568535</f>
        <v>30568535</v>
      </c>
      <c r="E8" s="241">
        <f>31057274</f>
        <v>31057274</v>
      </c>
      <c r="F8" s="241">
        <f>32115177</f>
        <v>32115177</v>
      </c>
      <c r="G8" s="241">
        <f>32550241</f>
        <v>32550241</v>
      </c>
      <c r="H8" s="241">
        <f>33878223</f>
        <v>33878223</v>
      </c>
      <c r="I8" s="241">
        <f>34994570</f>
        <v>34994570</v>
      </c>
      <c r="J8" s="241">
        <f>35241407</f>
        <v>35241407</v>
      </c>
      <c r="K8" s="241">
        <f>37019649</f>
        <v>37019649</v>
      </c>
      <c r="L8" s="241">
        <f>38130238</f>
        <v>38130238</v>
      </c>
      <c r="M8" s="241">
        <f>0</f>
        <v>0</v>
      </c>
      <c r="N8" s="241">
        <f>0</f>
        <v>0</v>
      </c>
      <c r="O8" s="241">
        <f>0</f>
        <v>0</v>
      </c>
      <c r="P8" s="241">
        <f>0</f>
        <v>0</v>
      </c>
      <c r="Q8" s="241">
        <f>0</f>
        <v>0</v>
      </c>
      <c r="R8" s="241">
        <f>0</f>
        <v>0</v>
      </c>
      <c r="S8" s="241">
        <f>0</f>
        <v>0</v>
      </c>
      <c r="T8" s="241">
        <f>0</f>
        <v>0</v>
      </c>
      <c r="U8" s="241">
        <f>0</f>
        <v>0</v>
      </c>
      <c r="V8" s="241">
        <f>0</f>
        <v>0</v>
      </c>
      <c r="W8" s="241">
        <f>0</f>
        <v>0</v>
      </c>
      <c r="X8" s="241">
        <f>0</f>
        <v>0</v>
      </c>
      <c r="Y8" s="241">
        <f>0</f>
        <v>0</v>
      </c>
      <c r="Z8" s="241">
        <f>0</f>
        <v>0</v>
      </c>
      <c r="AA8" s="241">
        <f>0</f>
        <v>0</v>
      </c>
      <c r="AB8" s="241">
        <f>0</f>
        <v>0</v>
      </c>
      <c r="AC8" s="241">
        <f>0</f>
        <v>0</v>
      </c>
      <c r="AD8" s="241">
        <f>0</f>
        <v>0</v>
      </c>
      <c r="AE8" s="241">
        <f>0</f>
        <v>0</v>
      </c>
      <c r="AF8" s="241">
        <f>0</f>
        <v>0</v>
      </c>
      <c r="AG8" s="241">
        <f>0</f>
        <v>0</v>
      </c>
    </row>
    <row r="9" spans="1:33" ht="24">
      <c r="A9" s="85" t="s">
        <v>245</v>
      </c>
      <c r="B9" s="87" t="s">
        <v>359</v>
      </c>
      <c r="C9" s="241">
        <f>170050</f>
        <v>170050</v>
      </c>
      <c r="D9" s="241">
        <f>179000</f>
        <v>179000</v>
      </c>
      <c r="E9" s="241">
        <f>0</f>
        <v>0</v>
      </c>
      <c r="F9" s="241">
        <f>0</f>
        <v>0</v>
      </c>
      <c r="G9" s="241">
        <f>0</f>
        <v>0</v>
      </c>
      <c r="H9" s="241">
        <f>0</f>
        <v>0</v>
      </c>
      <c r="I9" s="241">
        <f>0</f>
        <v>0</v>
      </c>
      <c r="J9" s="241">
        <f>0</f>
        <v>0</v>
      </c>
      <c r="K9" s="241">
        <f>0</f>
        <v>0</v>
      </c>
      <c r="L9" s="241">
        <f>0</f>
        <v>0</v>
      </c>
      <c r="M9" s="241">
        <f>0</f>
        <v>0</v>
      </c>
      <c r="N9" s="241">
        <f>0</f>
        <v>0</v>
      </c>
      <c r="O9" s="241">
        <f>0</f>
        <v>0</v>
      </c>
      <c r="P9" s="241">
        <f>0</f>
        <v>0</v>
      </c>
      <c r="Q9" s="241">
        <f>0</f>
        <v>0</v>
      </c>
      <c r="R9" s="241">
        <f>0</f>
        <v>0</v>
      </c>
      <c r="S9" s="241">
        <f>0</f>
        <v>0</v>
      </c>
      <c r="T9" s="241">
        <f>0</f>
        <v>0</v>
      </c>
      <c r="U9" s="241">
        <f>0</f>
        <v>0</v>
      </c>
      <c r="V9" s="241">
        <f>0</f>
        <v>0</v>
      </c>
      <c r="W9" s="241">
        <f>0</f>
        <v>0</v>
      </c>
      <c r="X9" s="241">
        <f>0</f>
        <v>0</v>
      </c>
      <c r="Y9" s="241">
        <f>0</f>
        <v>0</v>
      </c>
      <c r="Z9" s="241">
        <f>0</f>
        <v>0</v>
      </c>
      <c r="AA9" s="241">
        <f>0</f>
        <v>0</v>
      </c>
      <c r="AB9" s="241">
        <f>0</f>
        <v>0</v>
      </c>
      <c r="AC9" s="241">
        <f>0</f>
        <v>0</v>
      </c>
      <c r="AD9" s="241">
        <f>0</f>
        <v>0</v>
      </c>
      <c r="AE9" s="241">
        <f>0</f>
        <v>0</v>
      </c>
      <c r="AF9" s="241">
        <f>0</f>
        <v>0</v>
      </c>
      <c r="AG9" s="241">
        <f>0</f>
        <v>0</v>
      </c>
    </row>
    <row r="10" spans="1:33" ht="14.25">
      <c r="A10" s="85" t="s">
        <v>93</v>
      </c>
      <c r="B10" s="236" t="s">
        <v>358</v>
      </c>
      <c r="C10" s="241">
        <f>170050</f>
        <v>170050</v>
      </c>
      <c r="D10" s="241">
        <f>179000</f>
        <v>179000</v>
      </c>
      <c r="E10" s="241">
        <f>0</f>
        <v>0</v>
      </c>
      <c r="F10" s="241">
        <f>0</f>
        <v>0</v>
      </c>
      <c r="G10" s="241">
        <f>0</f>
        <v>0</v>
      </c>
      <c r="H10" s="241">
        <f>0</f>
        <v>0</v>
      </c>
      <c r="I10" s="241">
        <f>0</f>
        <v>0</v>
      </c>
      <c r="J10" s="241">
        <f>0</f>
        <v>0</v>
      </c>
      <c r="K10" s="241">
        <f>0</f>
        <v>0</v>
      </c>
      <c r="L10" s="241">
        <f>0</f>
        <v>0</v>
      </c>
      <c r="M10" s="241">
        <f>0</f>
        <v>0</v>
      </c>
      <c r="N10" s="241">
        <f>0</f>
        <v>0</v>
      </c>
      <c r="O10" s="241">
        <f>0</f>
        <v>0</v>
      </c>
      <c r="P10" s="241">
        <f>0</f>
        <v>0</v>
      </c>
      <c r="Q10" s="241">
        <f>0</f>
        <v>0</v>
      </c>
      <c r="R10" s="241">
        <f>0</f>
        <v>0</v>
      </c>
      <c r="S10" s="241">
        <f>0</f>
        <v>0</v>
      </c>
      <c r="T10" s="241">
        <f>0</f>
        <v>0</v>
      </c>
      <c r="U10" s="241">
        <f>0</f>
        <v>0</v>
      </c>
      <c r="V10" s="241">
        <f>0</f>
        <v>0</v>
      </c>
      <c r="W10" s="241">
        <f>0</f>
        <v>0</v>
      </c>
      <c r="X10" s="241">
        <f>0</f>
        <v>0</v>
      </c>
      <c r="Y10" s="241">
        <f>0</f>
        <v>0</v>
      </c>
      <c r="Z10" s="241">
        <f>0</f>
        <v>0</v>
      </c>
      <c r="AA10" s="241">
        <f>0</f>
        <v>0</v>
      </c>
      <c r="AB10" s="241">
        <f>0</f>
        <v>0</v>
      </c>
      <c r="AC10" s="241">
        <f>0</f>
        <v>0</v>
      </c>
      <c r="AD10" s="241">
        <f>0</f>
        <v>0</v>
      </c>
      <c r="AE10" s="241">
        <f>0</f>
        <v>0</v>
      </c>
      <c r="AF10" s="241">
        <f>0</f>
        <v>0</v>
      </c>
      <c r="AG10" s="241">
        <f>0</f>
        <v>0</v>
      </c>
    </row>
    <row r="11" spans="1:33" ht="14.25">
      <c r="A11" s="85" t="s">
        <v>94</v>
      </c>
      <c r="B11" s="88" t="s">
        <v>268</v>
      </c>
      <c r="C11" s="241">
        <f>1702017</f>
        <v>1702017</v>
      </c>
      <c r="D11" s="241">
        <f>668828</f>
        <v>668828</v>
      </c>
      <c r="E11" s="241">
        <f>510000</f>
        <v>510000</v>
      </c>
      <c r="F11" s="241">
        <f>1934394</f>
        <v>1934394</v>
      </c>
      <c r="G11" s="241">
        <f>510000</f>
        <v>510000</v>
      </c>
      <c r="H11" s="241">
        <f>0</f>
        <v>0</v>
      </c>
      <c r="I11" s="241">
        <f>0</f>
        <v>0</v>
      </c>
      <c r="J11" s="241">
        <f>0</f>
        <v>0</v>
      </c>
      <c r="K11" s="241">
        <f>0</f>
        <v>0</v>
      </c>
      <c r="L11" s="241">
        <f>0</f>
        <v>0</v>
      </c>
      <c r="M11" s="241">
        <f>0</f>
        <v>0</v>
      </c>
      <c r="N11" s="241">
        <f>0</f>
        <v>0</v>
      </c>
      <c r="O11" s="241">
        <f>0</f>
        <v>0</v>
      </c>
      <c r="P11" s="241">
        <f>0</f>
        <v>0</v>
      </c>
      <c r="Q11" s="241">
        <f>0</f>
        <v>0</v>
      </c>
      <c r="R11" s="241">
        <f>0</f>
        <v>0</v>
      </c>
      <c r="S11" s="241">
        <f>0</f>
        <v>0</v>
      </c>
      <c r="T11" s="241">
        <f>0</f>
        <v>0</v>
      </c>
      <c r="U11" s="241">
        <f>0</f>
        <v>0</v>
      </c>
      <c r="V11" s="241">
        <f>0</f>
        <v>0</v>
      </c>
      <c r="W11" s="241">
        <f>0</f>
        <v>0</v>
      </c>
      <c r="X11" s="241">
        <f>0</f>
        <v>0</v>
      </c>
      <c r="Y11" s="241">
        <f>0</f>
        <v>0</v>
      </c>
      <c r="Z11" s="241">
        <f>0</f>
        <v>0</v>
      </c>
      <c r="AA11" s="241">
        <f>0</f>
        <v>0</v>
      </c>
      <c r="AB11" s="241">
        <f>0</f>
        <v>0</v>
      </c>
      <c r="AC11" s="241">
        <f>0</f>
        <v>0</v>
      </c>
      <c r="AD11" s="241">
        <f>0</f>
        <v>0</v>
      </c>
      <c r="AE11" s="241">
        <f>0</f>
        <v>0</v>
      </c>
      <c r="AF11" s="241">
        <f>0</f>
        <v>0</v>
      </c>
      <c r="AG11" s="241">
        <f>0</f>
        <v>0</v>
      </c>
    </row>
    <row r="12" spans="1:33" ht="14.25">
      <c r="A12" s="85" t="s">
        <v>95</v>
      </c>
      <c r="B12" s="87" t="s">
        <v>85</v>
      </c>
      <c r="C12" s="241">
        <f>0</f>
        <v>0</v>
      </c>
      <c r="D12" s="241">
        <f>0</f>
        <v>0</v>
      </c>
      <c r="E12" s="241">
        <f>0</f>
        <v>0</v>
      </c>
      <c r="F12" s="241">
        <f>0</f>
        <v>0</v>
      </c>
      <c r="G12" s="241">
        <f>0</f>
        <v>0</v>
      </c>
      <c r="H12" s="241">
        <f>0</f>
        <v>0</v>
      </c>
      <c r="I12" s="241">
        <f>0</f>
        <v>0</v>
      </c>
      <c r="J12" s="241">
        <f>0</f>
        <v>0</v>
      </c>
      <c r="K12" s="241">
        <f>0</f>
        <v>0</v>
      </c>
      <c r="L12" s="241">
        <f>0</f>
        <v>0</v>
      </c>
      <c r="M12" s="241">
        <f>0</f>
        <v>0</v>
      </c>
      <c r="N12" s="241">
        <f>0</f>
        <v>0</v>
      </c>
      <c r="O12" s="241">
        <f>0</f>
        <v>0</v>
      </c>
      <c r="P12" s="241">
        <f>0</f>
        <v>0</v>
      </c>
      <c r="Q12" s="241">
        <f>0</f>
        <v>0</v>
      </c>
      <c r="R12" s="241">
        <f>0</f>
        <v>0</v>
      </c>
      <c r="S12" s="241">
        <f>0</f>
        <v>0</v>
      </c>
      <c r="T12" s="241">
        <f>0</f>
        <v>0</v>
      </c>
      <c r="U12" s="241">
        <f>0</f>
        <v>0</v>
      </c>
      <c r="V12" s="241">
        <f>0</f>
        <v>0</v>
      </c>
      <c r="W12" s="241">
        <f>0</f>
        <v>0</v>
      </c>
      <c r="X12" s="241">
        <f>0</f>
        <v>0</v>
      </c>
      <c r="Y12" s="241">
        <f>0</f>
        <v>0</v>
      </c>
      <c r="Z12" s="241">
        <f>0</f>
        <v>0</v>
      </c>
      <c r="AA12" s="241">
        <f>0</f>
        <v>0</v>
      </c>
      <c r="AB12" s="241">
        <f>0</f>
        <v>0</v>
      </c>
      <c r="AC12" s="241">
        <f>0</f>
        <v>0</v>
      </c>
      <c r="AD12" s="241">
        <f>0</f>
        <v>0</v>
      </c>
      <c r="AE12" s="241">
        <f>0</f>
        <v>0</v>
      </c>
      <c r="AF12" s="241">
        <f>0</f>
        <v>0</v>
      </c>
      <c r="AG12" s="241">
        <f>0</f>
        <v>0</v>
      </c>
    </row>
    <row r="13" spans="1:33" ht="24">
      <c r="A13" s="85" t="s">
        <v>246</v>
      </c>
      <c r="B13" s="87" t="s">
        <v>357</v>
      </c>
      <c r="C13" s="241">
        <f>1452017</f>
        <v>1452017</v>
      </c>
      <c r="D13" s="241">
        <f>668828</f>
        <v>668828</v>
      </c>
      <c r="E13" s="241">
        <f>510000</f>
        <v>510000</v>
      </c>
      <c r="F13" s="241">
        <f>1934394</f>
        <v>1934394</v>
      </c>
      <c r="G13" s="241">
        <f>510000</f>
        <v>510000</v>
      </c>
      <c r="H13" s="241">
        <f>0</f>
        <v>0</v>
      </c>
      <c r="I13" s="241">
        <f>0</f>
        <v>0</v>
      </c>
      <c r="J13" s="241">
        <f>0</f>
        <v>0</v>
      </c>
      <c r="K13" s="241">
        <f>0</f>
        <v>0</v>
      </c>
      <c r="L13" s="241">
        <f>0</f>
        <v>0</v>
      </c>
      <c r="M13" s="241">
        <f>0</f>
        <v>0</v>
      </c>
      <c r="N13" s="241">
        <f>0</f>
        <v>0</v>
      </c>
      <c r="O13" s="241">
        <f>0</f>
        <v>0</v>
      </c>
      <c r="P13" s="241">
        <f>0</f>
        <v>0</v>
      </c>
      <c r="Q13" s="241">
        <f>0</f>
        <v>0</v>
      </c>
      <c r="R13" s="241">
        <f>0</f>
        <v>0</v>
      </c>
      <c r="S13" s="241">
        <f>0</f>
        <v>0</v>
      </c>
      <c r="T13" s="241">
        <f>0</f>
        <v>0</v>
      </c>
      <c r="U13" s="241">
        <f>0</f>
        <v>0</v>
      </c>
      <c r="V13" s="241">
        <f>0</f>
        <v>0</v>
      </c>
      <c r="W13" s="241">
        <f>0</f>
        <v>0</v>
      </c>
      <c r="X13" s="241">
        <f>0</f>
        <v>0</v>
      </c>
      <c r="Y13" s="241">
        <f>0</f>
        <v>0</v>
      </c>
      <c r="Z13" s="241">
        <f>0</f>
        <v>0</v>
      </c>
      <c r="AA13" s="241">
        <f>0</f>
        <v>0</v>
      </c>
      <c r="AB13" s="241">
        <f>0</f>
        <v>0</v>
      </c>
      <c r="AC13" s="241">
        <f>0</f>
        <v>0</v>
      </c>
      <c r="AD13" s="241">
        <f>0</f>
        <v>0</v>
      </c>
      <c r="AE13" s="241">
        <f>0</f>
        <v>0</v>
      </c>
      <c r="AF13" s="241">
        <f>0</f>
        <v>0</v>
      </c>
      <c r="AG13" s="241">
        <f>0</f>
        <v>0</v>
      </c>
    </row>
    <row r="14" spans="1:33" ht="14.25">
      <c r="A14" s="101" t="s">
        <v>96</v>
      </c>
      <c r="B14" s="237" t="s">
        <v>361</v>
      </c>
      <c r="C14" s="242">
        <f>1452017</f>
        <v>1452017</v>
      </c>
      <c r="D14" s="242">
        <f>668828</f>
        <v>668828</v>
      </c>
      <c r="E14" s="242">
        <f>510000</f>
        <v>510000</v>
      </c>
      <c r="F14" s="242">
        <f>1934394</f>
        <v>1934394</v>
      </c>
      <c r="G14" s="242">
        <f>510000</f>
        <v>510000</v>
      </c>
      <c r="H14" s="242">
        <f>0</f>
        <v>0</v>
      </c>
      <c r="I14" s="242">
        <f>0</f>
        <v>0</v>
      </c>
      <c r="J14" s="242">
        <f>0</f>
        <v>0</v>
      </c>
      <c r="K14" s="242">
        <f>0</f>
        <v>0</v>
      </c>
      <c r="L14" s="242">
        <f>0</f>
        <v>0</v>
      </c>
      <c r="M14" s="242">
        <f>0</f>
        <v>0</v>
      </c>
      <c r="N14" s="242">
        <f>0</f>
        <v>0</v>
      </c>
      <c r="O14" s="242">
        <f>0</f>
        <v>0</v>
      </c>
      <c r="P14" s="242">
        <f>0</f>
        <v>0</v>
      </c>
      <c r="Q14" s="242">
        <f>0</f>
        <v>0</v>
      </c>
      <c r="R14" s="242">
        <f>0</f>
        <v>0</v>
      </c>
      <c r="S14" s="242">
        <f>0</f>
        <v>0</v>
      </c>
      <c r="T14" s="242">
        <f>0</f>
        <v>0</v>
      </c>
      <c r="U14" s="242">
        <f>0</f>
        <v>0</v>
      </c>
      <c r="V14" s="242">
        <f>0</f>
        <v>0</v>
      </c>
      <c r="W14" s="242">
        <f>0</f>
        <v>0</v>
      </c>
      <c r="X14" s="242">
        <f>0</f>
        <v>0</v>
      </c>
      <c r="Y14" s="242">
        <f>0</f>
        <v>0</v>
      </c>
      <c r="Z14" s="242">
        <f>0</f>
        <v>0</v>
      </c>
      <c r="AA14" s="242">
        <f>0</f>
        <v>0</v>
      </c>
      <c r="AB14" s="242">
        <f>0</f>
        <v>0</v>
      </c>
      <c r="AC14" s="242">
        <f>0</f>
        <v>0</v>
      </c>
      <c r="AD14" s="242">
        <f>0</f>
        <v>0</v>
      </c>
      <c r="AE14" s="242">
        <f>0</f>
        <v>0</v>
      </c>
      <c r="AF14" s="242">
        <f>0</f>
        <v>0</v>
      </c>
      <c r="AG14" s="242">
        <f>0</f>
        <v>0</v>
      </c>
    </row>
    <row r="15" spans="1:33" s="286" customFormat="1" ht="24">
      <c r="A15" s="99">
        <v>2</v>
      </c>
      <c r="B15" s="100" t="s">
        <v>3</v>
      </c>
      <c r="C15" s="285">
        <f>26200366</f>
        <v>26200366</v>
      </c>
      <c r="D15" s="285">
        <f>27041737</f>
        <v>27041737</v>
      </c>
      <c r="E15" s="285">
        <f>28496008</f>
        <v>28496008</v>
      </c>
      <c r="F15" s="285">
        <f>29008344</f>
        <v>29008344</v>
      </c>
      <c r="G15" s="285">
        <f>30016241</f>
        <v>30016241</v>
      </c>
      <c r="H15" s="285">
        <f>30971747</f>
        <v>30971747</v>
      </c>
      <c r="I15" s="285">
        <f>31582291</f>
        <v>31582291</v>
      </c>
      <c r="J15" s="285">
        <f>32914948</f>
        <v>32914948</v>
      </c>
      <c r="K15" s="285">
        <f>33426802</f>
        <v>33426802</v>
      </c>
      <c r="L15" s="285">
        <f>34208608</f>
        <v>34208608</v>
      </c>
      <c r="M15" s="285">
        <f>0</f>
        <v>0</v>
      </c>
      <c r="N15" s="285">
        <f>0</f>
        <v>0</v>
      </c>
      <c r="O15" s="285">
        <f>0</f>
        <v>0</v>
      </c>
      <c r="P15" s="285">
        <f>0</f>
        <v>0</v>
      </c>
      <c r="Q15" s="285">
        <f>0</f>
        <v>0</v>
      </c>
      <c r="R15" s="285">
        <f>0</f>
        <v>0</v>
      </c>
      <c r="S15" s="285">
        <f>0</f>
        <v>0</v>
      </c>
      <c r="T15" s="285">
        <f>0</f>
        <v>0</v>
      </c>
      <c r="U15" s="285">
        <f>0</f>
        <v>0</v>
      </c>
      <c r="V15" s="285">
        <f>0</f>
        <v>0</v>
      </c>
      <c r="W15" s="285">
        <f>0</f>
        <v>0</v>
      </c>
      <c r="X15" s="285">
        <f>0</f>
        <v>0</v>
      </c>
      <c r="Y15" s="285">
        <f>0</f>
        <v>0</v>
      </c>
      <c r="Z15" s="285">
        <f>0</f>
        <v>0</v>
      </c>
      <c r="AA15" s="285">
        <f>0</f>
        <v>0</v>
      </c>
      <c r="AB15" s="285">
        <f>0</f>
        <v>0</v>
      </c>
      <c r="AC15" s="285">
        <f>0</f>
        <v>0</v>
      </c>
      <c r="AD15" s="285">
        <f>0</f>
        <v>0</v>
      </c>
      <c r="AE15" s="285">
        <f>0</f>
        <v>0</v>
      </c>
      <c r="AF15" s="285">
        <f>0</f>
        <v>0</v>
      </c>
      <c r="AG15" s="285">
        <f>0</f>
        <v>0</v>
      </c>
    </row>
    <row r="16" spans="1:33" ht="14.25">
      <c r="A16" s="85" t="s">
        <v>97</v>
      </c>
      <c r="B16" s="86" t="s">
        <v>4</v>
      </c>
      <c r="C16" s="241">
        <f>14910403</f>
        <v>14910403</v>
      </c>
      <c r="D16" s="241">
        <f>15541758</f>
        <v>15541758</v>
      </c>
      <c r="E16" s="241">
        <f>15961385</f>
        <v>15961385</v>
      </c>
      <c r="F16" s="241">
        <f>16392342</f>
        <v>16392342</v>
      </c>
      <c r="G16" s="241">
        <f>16834936</f>
        <v>16834936</v>
      </c>
      <c r="H16" s="241">
        <f>17272644</f>
        <v>17272644</v>
      </c>
      <c r="I16" s="241">
        <f>17721733</f>
        <v>17721733</v>
      </c>
      <c r="J16" s="241">
        <f>18041291</f>
        <v>18041291</v>
      </c>
      <c r="K16" s="241">
        <f>18456241</f>
        <v>18456241</v>
      </c>
      <c r="L16" s="241">
        <f>18880734</f>
        <v>18880734</v>
      </c>
      <c r="M16" s="241">
        <f>0</f>
        <v>0</v>
      </c>
      <c r="N16" s="241">
        <f>0</f>
        <v>0</v>
      </c>
      <c r="O16" s="241">
        <f>0</f>
        <v>0</v>
      </c>
      <c r="P16" s="241">
        <f>0</f>
        <v>0</v>
      </c>
      <c r="Q16" s="241">
        <f>0</f>
        <v>0</v>
      </c>
      <c r="R16" s="241">
        <f>0</f>
        <v>0</v>
      </c>
      <c r="S16" s="241">
        <f>0</f>
        <v>0</v>
      </c>
      <c r="T16" s="241">
        <f>0</f>
        <v>0</v>
      </c>
      <c r="U16" s="241">
        <f>0</f>
        <v>0</v>
      </c>
      <c r="V16" s="241">
        <f>0</f>
        <v>0</v>
      </c>
      <c r="W16" s="241">
        <f>0</f>
        <v>0</v>
      </c>
      <c r="X16" s="241">
        <f>0</f>
        <v>0</v>
      </c>
      <c r="Y16" s="241">
        <f>0</f>
        <v>0</v>
      </c>
      <c r="Z16" s="241">
        <f>0</f>
        <v>0</v>
      </c>
      <c r="AA16" s="241">
        <f>0</f>
        <v>0</v>
      </c>
      <c r="AB16" s="241">
        <f>0</f>
        <v>0</v>
      </c>
      <c r="AC16" s="241">
        <f>0</f>
        <v>0</v>
      </c>
      <c r="AD16" s="241">
        <f>0</f>
        <v>0</v>
      </c>
      <c r="AE16" s="241">
        <f>0</f>
        <v>0</v>
      </c>
      <c r="AF16" s="241">
        <f>0</f>
        <v>0</v>
      </c>
      <c r="AG16" s="241">
        <f>0</f>
        <v>0</v>
      </c>
    </row>
    <row r="17" spans="1:33" ht="14.25">
      <c r="A17" s="85" t="s">
        <v>99</v>
      </c>
      <c r="B17" s="86" t="s">
        <v>5</v>
      </c>
      <c r="C17" s="241">
        <f>3053449</f>
        <v>3053449</v>
      </c>
      <c r="D17" s="241">
        <f>3102301</f>
        <v>3102301</v>
      </c>
      <c r="E17" s="241">
        <f>3182961</f>
        <v>3182961</v>
      </c>
      <c r="F17" s="241">
        <f>3265718</f>
        <v>3265718</v>
      </c>
      <c r="G17" s="241">
        <f>3350627</f>
        <v>3350627</v>
      </c>
      <c r="H17" s="241">
        <f>3434392</f>
        <v>3434392</v>
      </c>
      <c r="I17" s="241">
        <f>3520252</f>
        <v>3520252</v>
      </c>
      <c r="J17" s="241">
        <f>3608258</f>
        <v>3608258</v>
      </c>
      <c r="K17" s="241">
        <f>3691248</f>
        <v>3691248</v>
      </c>
      <c r="L17" s="241">
        <f>3776147</f>
        <v>3776147</v>
      </c>
      <c r="M17" s="241">
        <f>0</f>
        <v>0</v>
      </c>
      <c r="N17" s="241">
        <f>0</f>
        <v>0</v>
      </c>
      <c r="O17" s="241">
        <f>0</f>
        <v>0</v>
      </c>
      <c r="P17" s="241">
        <f>0</f>
        <v>0</v>
      </c>
      <c r="Q17" s="241">
        <f>0</f>
        <v>0</v>
      </c>
      <c r="R17" s="241">
        <f>0</f>
        <v>0</v>
      </c>
      <c r="S17" s="241">
        <f>0</f>
        <v>0</v>
      </c>
      <c r="T17" s="241">
        <f>0</f>
        <v>0</v>
      </c>
      <c r="U17" s="241">
        <f>0</f>
        <v>0</v>
      </c>
      <c r="V17" s="241">
        <f>0</f>
        <v>0</v>
      </c>
      <c r="W17" s="241">
        <f>0</f>
        <v>0</v>
      </c>
      <c r="X17" s="241">
        <f>0</f>
        <v>0</v>
      </c>
      <c r="Y17" s="241">
        <f>0</f>
        <v>0</v>
      </c>
      <c r="Z17" s="241">
        <f>0</f>
        <v>0</v>
      </c>
      <c r="AA17" s="241">
        <f>0</f>
        <v>0</v>
      </c>
      <c r="AB17" s="241">
        <f>0</f>
        <v>0</v>
      </c>
      <c r="AC17" s="241">
        <f>0</f>
        <v>0</v>
      </c>
      <c r="AD17" s="241">
        <f>0</f>
        <v>0</v>
      </c>
      <c r="AE17" s="241">
        <f>0</f>
        <v>0</v>
      </c>
      <c r="AF17" s="241">
        <f>0</f>
        <v>0</v>
      </c>
      <c r="AG17" s="241">
        <f>0</f>
        <v>0</v>
      </c>
    </row>
    <row r="18" spans="1:33" ht="14.25">
      <c r="A18" s="85" t="s">
        <v>101</v>
      </c>
      <c r="B18" s="86" t="s">
        <v>367</v>
      </c>
      <c r="C18" s="241">
        <f>0</f>
        <v>0</v>
      </c>
      <c r="D18" s="241">
        <f>0</f>
        <v>0</v>
      </c>
      <c r="E18" s="241">
        <f>0</f>
        <v>0</v>
      </c>
      <c r="F18" s="241">
        <f>0</f>
        <v>0</v>
      </c>
      <c r="G18" s="241">
        <f>0</f>
        <v>0</v>
      </c>
      <c r="H18" s="241">
        <f>0</f>
        <v>0</v>
      </c>
      <c r="I18" s="241">
        <f>0</f>
        <v>0</v>
      </c>
      <c r="J18" s="241">
        <f>0</f>
        <v>0</v>
      </c>
      <c r="K18" s="241">
        <f>0</f>
        <v>0</v>
      </c>
      <c r="L18" s="241">
        <f>0</f>
        <v>0</v>
      </c>
      <c r="M18" s="241">
        <f>0</f>
        <v>0</v>
      </c>
      <c r="N18" s="241">
        <f>0</f>
        <v>0</v>
      </c>
      <c r="O18" s="241">
        <f>0</f>
        <v>0</v>
      </c>
      <c r="P18" s="241">
        <f>0</f>
        <v>0</v>
      </c>
      <c r="Q18" s="241">
        <f>0</f>
        <v>0</v>
      </c>
      <c r="R18" s="241">
        <f>0</f>
        <v>0</v>
      </c>
      <c r="S18" s="241">
        <f>0</f>
        <v>0</v>
      </c>
      <c r="T18" s="241">
        <f>0</f>
        <v>0</v>
      </c>
      <c r="U18" s="241">
        <f>0</f>
        <v>0</v>
      </c>
      <c r="V18" s="241">
        <f>0</f>
        <v>0</v>
      </c>
      <c r="W18" s="241">
        <f>0</f>
        <v>0</v>
      </c>
      <c r="X18" s="241">
        <f>0</f>
        <v>0</v>
      </c>
      <c r="Y18" s="241">
        <f>0</f>
        <v>0</v>
      </c>
      <c r="Z18" s="241">
        <f>0</f>
        <v>0</v>
      </c>
      <c r="AA18" s="241">
        <f>0</f>
        <v>0</v>
      </c>
      <c r="AB18" s="241">
        <f>0</f>
        <v>0</v>
      </c>
      <c r="AC18" s="241">
        <f>0</f>
        <v>0</v>
      </c>
      <c r="AD18" s="241">
        <f>0</f>
        <v>0</v>
      </c>
      <c r="AE18" s="241">
        <f>0</f>
        <v>0</v>
      </c>
      <c r="AF18" s="241">
        <f>0</f>
        <v>0</v>
      </c>
      <c r="AG18" s="241">
        <f>0</f>
        <v>0</v>
      </c>
    </row>
    <row r="19" spans="1:33" ht="24">
      <c r="A19" s="85" t="s">
        <v>103</v>
      </c>
      <c r="B19" s="89" t="s">
        <v>362</v>
      </c>
      <c r="C19" s="241">
        <f>0</f>
        <v>0</v>
      </c>
      <c r="D19" s="241">
        <f>0</f>
        <v>0</v>
      </c>
      <c r="E19" s="241">
        <f>0</f>
        <v>0</v>
      </c>
      <c r="F19" s="241">
        <f>0</f>
        <v>0</v>
      </c>
      <c r="G19" s="241">
        <f>0</f>
        <v>0</v>
      </c>
      <c r="H19" s="241">
        <f>0</f>
        <v>0</v>
      </c>
      <c r="I19" s="241">
        <f>0</f>
        <v>0</v>
      </c>
      <c r="J19" s="241">
        <f>0</f>
        <v>0</v>
      </c>
      <c r="K19" s="241">
        <f>0</f>
        <v>0</v>
      </c>
      <c r="L19" s="241">
        <f>0</f>
        <v>0</v>
      </c>
      <c r="M19" s="241">
        <f>0</f>
        <v>0</v>
      </c>
      <c r="N19" s="241">
        <f>0</f>
        <v>0</v>
      </c>
      <c r="O19" s="241">
        <f>0</f>
        <v>0</v>
      </c>
      <c r="P19" s="241">
        <f>0</f>
        <v>0</v>
      </c>
      <c r="Q19" s="241">
        <f>0</f>
        <v>0</v>
      </c>
      <c r="R19" s="241">
        <f>0</f>
        <v>0</v>
      </c>
      <c r="S19" s="241">
        <f>0</f>
        <v>0</v>
      </c>
      <c r="T19" s="241">
        <f>0</f>
        <v>0</v>
      </c>
      <c r="U19" s="241">
        <f>0</f>
        <v>0</v>
      </c>
      <c r="V19" s="241">
        <f>0</f>
        <v>0</v>
      </c>
      <c r="W19" s="241">
        <f>0</f>
        <v>0</v>
      </c>
      <c r="X19" s="241">
        <f>0</f>
        <v>0</v>
      </c>
      <c r="Y19" s="241">
        <f>0</f>
        <v>0</v>
      </c>
      <c r="Z19" s="241">
        <f>0</f>
        <v>0</v>
      </c>
      <c r="AA19" s="241">
        <f>0</f>
        <v>0</v>
      </c>
      <c r="AB19" s="241">
        <f>0</f>
        <v>0</v>
      </c>
      <c r="AC19" s="241">
        <f>0</f>
        <v>0</v>
      </c>
      <c r="AD19" s="241">
        <f>0</f>
        <v>0</v>
      </c>
      <c r="AE19" s="241">
        <f>0</f>
        <v>0</v>
      </c>
      <c r="AF19" s="241">
        <f>0</f>
        <v>0</v>
      </c>
      <c r="AG19" s="241">
        <f>0</f>
        <v>0</v>
      </c>
    </row>
    <row r="20" spans="1:33" ht="24">
      <c r="A20" s="85" t="s">
        <v>250</v>
      </c>
      <c r="B20" s="90" t="s">
        <v>363</v>
      </c>
      <c r="C20" s="241">
        <f>0</f>
        <v>0</v>
      </c>
      <c r="D20" s="241">
        <f>0</f>
        <v>0</v>
      </c>
      <c r="E20" s="241">
        <f>0</f>
        <v>0</v>
      </c>
      <c r="F20" s="241">
        <f>0</f>
        <v>0</v>
      </c>
      <c r="G20" s="241">
        <f>0</f>
        <v>0</v>
      </c>
      <c r="H20" s="241">
        <f>0</f>
        <v>0</v>
      </c>
      <c r="I20" s="241">
        <f>0</f>
        <v>0</v>
      </c>
      <c r="J20" s="241">
        <f>0</f>
        <v>0</v>
      </c>
      <c r="K20" s="241">
        <f>0</f>
        <v>0</v>
      </c>
      <c r="L20" s="241">
        <f>0</f>
        <v>0</v>
      </c>
      <c r="M20" s="241">
        <f>0</f>
        <v>0</v>
      </c>
      <c r="N20" s="241">
        <f>0</f>
        <v>0</v>
      </c>
      <c r="O20" s="241">
        <f>0</f>
        <v>0</v>
      </c>
      <c r="P20" s="241">
        <f>0</f>
        <v>0</v>
      </c>
      <c r="Q20" s="241">
        <f>0</f>
        <v>0</v>
      </c>
      <c r="R20" s="241">
        <f>0</f>
        <v>0</v>
      </c>
      <c r="S20" s="241">
        <f>0</f>
        <v>0</v>
      </c>
      <c r="T20" s="241">
        <f>0</f>
        <v>0</v>
      </c>
      <c r="U20" s="241">
        <f>0</f>
        <v>0</v>
      </c>
      <c r="V20" s="241">
        <f>0</f>
        <v>0</v>
      </c>
      <c r="W20" s="241">
        <f>0</f>
        <v>0</v>
      </c>
      <c r="X20" s="241">
        <f>0</f>
        <v>0</v>
      </c>
      <c r="Y20" s="241">
        <f>0</f>
        <v>0</v>
      </c>
      <c r="Z20" s="241">
        <f>0</f>
        <v>0</v>
      </c>
      <c r="AA20" s="241">
        <f>0</f>
        <v>0</v>
      </c>
      <c r="AB20" s="241">
        <f>0</f>
        <v>0</v>
      </c>
      <c r="AC20" s="241">
        <f>0</f>
        <v>0</v>
      </c>
      <c r="AD20" s="241">
        <f>0</f>
        <v>0</v>
      </c>
      <c r="AE20" s="241">
        <f>0</f>
        <v>0</v>
      </c>
      <c r="AF20" s="241">
        <f>0</f>
        <v>0</v>
      </c>
      <c r="AG20" s="241">
        <f>0</f>
        <v>0</v>
      </c>
    </row>
    <row r="21" spans="1:33" ht="14.25">
      <c r="A21" s="85" t="s">
        <v>104</v>
      </c>
      <c r="B21" s="86" t="s">
        <v>364</v>
      </c>
      <c r="C21" s="241">
        <f>1200000</f>
        <v>1200000</v>
      </c>
      <c r="D21" s="241">
        <f>1280000</f>
        <v>1280000</v>
      </c>
      <c r="E21" s="241">
        <f>1110000</f>
        <v>1110000</v>
      </c>
      <c r="F21" s="241">
        <f>0</f>
        <v>0</v>
      </c>
      <c r="G21" s="241">
        <f>0</f>
        <v>0</v>
      </c>
      <c r="H21" s="241">
        <f>0</f>
        <v>0</v>
      </c>
      <c r="I21" s="241">
        <f>0</f>
        <v>0</v>
      </c>
      <c r="J21" s="241">
        <f>0</f>
        <v>0</v>
      </c>
      <c r="K21" s="241">
        <f>0</f>
        <v>0</v>
      </c>
      <c r="L21" s="241">
        <f>0</f>
        <v>0</v>
      </c>
      <c r="M21" s="241">
        <f>0</f>
        <v>0</v>
      </c>
      <c r="N21" s="241">
        <f>0</f>
        <v>0</v>
      </c>
      <c r="O21" s="241">
        <f>0</f>
        <v>0</v>
      </c>
      <c r="P21" s="241">
        <f>0</f>
        <v>0</v>
      </c>
      <c r="Q21" s="241">
        <f>0</f>
        <v>0</v>
      </c>
      <c r="R21" s="241">
        <f>0</f>
        <v>0</v>
      </c>
      <c r="S21" s="241">
        <f>0</f>
        <v>0</v>
      </c>
      <c r="T21" s="241">
        <f>0</f>
        <v>0</v>
      </c>
      <c r="U21" s="241">
        <f>0</f>
        <v>0</v>
      </c>
      <c r="V21" s="241">
        <f>0</f>
        <v>0</v>
      </c>
      <c r="W21" s="241">
        <f>0</f>
        <v>0</v>
      </c>
      <c r="X21" s="241">
        <f>0</f>
        <v>0</v>
      </c>
      <c r="Y21" s="241">
        <f>0</f>
        <v>0</v>
      </c>
      <c r="Z21" s="241">
        <f>0</f>
        <v>0</v>
      </c>
      <c r="AA21" s="241">
        <f>0</f>
        <v>0</v>
      </c>
      <c r="AB21" s="241">
        <f>0</f>
        <v>0</v>
      </c>
      <c r="AC21" s="241">
        <f>0</f>
        <v>0</v>
      </c>
      <c r="AD21" s="241">
        <f>0</f>
        <v>0</v>
      </c>
      <c r="AE21" s="241">
        <f>0</f>
        <v>0</v>
      </c>
      <c r="AF21" s="241">
        <f>0</f>
        <v>0</v>
      </c>
      <c r="AG21" s="241">
        <f>0</f>
        <v>0</v>
      </c>
    </row>
    <row r="22" spans="1:33" ht="24">
      <c r="A22" s="85" t="s">
        <v>106</v>
      </c>
      <c r="B22" s="86" t="s">
        <v>365</v>
      </c>
      <c r="C22" s="241">
        <f>190000</f>
        <v>190000</v>
      </c>
      <c r="D22" s="241">
        <f>200000</f>
        <v>200000</v>
      </c>
      <c r="E22" s="241">
        <f>0</f>
        <v>0</v>
      </c>
      <c r="F22" s="241">
        <f>0</f>
        <v>0</v>
      </c>
      <c r="G22" s="241">
        <f>0</f>
        <v>0</v>
      </c>
      <c r="H22" s="241">
        <f>0</f>
        <v>0</v>
      </c>
      <c r="I22" s="241">
        <f>0</f>
        <v>0</v>
      </c>
      <c r="J22" s="241">
        <f>0</f>
        <v>0</v>
      </c>
      <c r="K22" s="241">
        <f>0</f>
        <v>0</v>
      </c>
      <c r="L22" s="241">
        <f>0</f>
        <v>0</v>
      </c>
      <c r="M22" s="241">
        <f>0</f>
        <v>0</v>
      </c>
      <c r="N22" s="241">
        <f>0</f>
        <v>0</v>
      </c>
      <c r="O22" s="241">
        <f>0</f>
        <v>0</v>
      </c>
      <c r="P22" s="241">
        <f>0</f>
        <v>0</v>
      </c>
      <c r="Q22" s="241">
        <f>0</f>
        <v>0</v>
      </c>
      <c r="R22" s="241">
        <f>0</f>
        <v>0</v>
      </c>
      <c r="S22" s="241">
        <f>0</f>
        <v>0</v>
      </c>
      <c r="T22" s="241">
        <f>0</f>
        <v>0</v>
      </c>
      <c r="U22" s="241">
        <f>0</f>
        <v>0</v>
      </c>
      <c r="V22" s="241">
        <f>0</f>
        <v>0</v>
      </c>
      <c r="W22" s="241">
        <f>0</f>
        <v>0</v>
      </c>
      <c r="X22" s="241">
        <f>0</f>
        <v>0</v>
      </c>
      <c r="Y22" s="241">
        <f>0</f>
        <v>0</v>
      </c>
      <c r="Z22" s="241">
        <f>0</f>
        <v>0</v>
      </c>
      <c r="AA22" s="241">
        <f>0</f>
        <v>0</v>
      </c>
      <c r="AB22" s="241">
        <f>0</f>
        <v>0</v>
      </c>
      <c r="AC22" s="241">
        <f>0</f>
        <v>0</v>
      </c>
      <c r="AD22" s="241">
        <f>0</f>
        <v>0</v>
      </c>
      <c r="AE22" s="241">
        <f>0</f>
        <v>0</v>
      </c>
      <c r="AF22" s="241">
        <f>0</f>
        <v>0</v>
      </c>
      <c r="AG22" s="241">
        <f>0</f>
        <v>0</v>
      </c>
    </row>
    <row r="23" spans="1:33" ht="14.25">
      <c r="A23" s="101" t="s">
        <v>252</v>
      </c>
      <c r="B23" s="102" t="s">
        <v>366</v>
      </c>
      <c r="C23" s="242">
        <f>170050</f>
        <v>170050</v>
      </c>
      <c r="D23" s="242">
        <f>179000</f>
        <v>179000</v>
      </c>
      <c r="E23" s="242">
        <f>0</f>
        <v>0</v>
      </c>
      <c r="F23" s="242">
        <f>0</f>
        <v>0</v>
      </c>
      <c r="G23" s="242">
        <f>0</f>
        <v>0</v>
      </c>
      <c r="H23" s="242">
        <f>0</f>
        <v>0</v>
      </c>
      <c r="I23" s="242">
        <f>0</f>
        <v>0</v>
      </c>
      <c r="J23" s="242">
        <f>0</f>
        <v>0</v>
      </c>
      <c r="K23" s="242">
        <f>0</f>
        <v>0</v>
      </c>
      <c r="L23" s="242">
        <f>0</f>
        <v>0</v>
      </c>
      <c r="M23" s="242">
        <f>0</f>
        <v>0</v>
      </c>
      <c r="N23" s="242">
        <f>0</f>
        <v>0</v>
      </c>
      <c r="O23" s="242">
        <f>0</f>
        <v>0</v>
      </c>
      <c r="P23" s="242">
        <f>0</f>
        <v>0</v>
      </c>
      <c r="Q23" s="242">
        <f>0</f>
        <v>0</v>
      </c>
      <c r="R23" s="242">
        <f>0</f>
        <v>0</v>
      </c>
      <c r="S23" s="242">
        <f>0</f>
        <v>0</v>
      </c>
      <c r="T23" s="242">
        <f>0</f>
        <v>0</v>
      </c>
      <c r="U23" s="242">
        <f>0</f>
        <v>0</v>
      </c>
      <c r="V23" s="242">
        <f>0</f>
        <v>0</v>
      </c>
      <c r="W23" s="242">
        <f>0</f>
        <v>0</v>
      </c>
      <c r="X23" s="242">
        <f>0</f>
        <v>0</v>
      </c>
      <c r="Y23" s="242">
        <f>0</f>
        <v>0</v>
      </c>
      <c r="Z23" s="242">
        <f>0</f>
        <v>0</v>
      </c>
      <c r="AA23" s="242">
        <f>0</f>
        <v>0</v>
      </c>
      <c r="AB23" s="242">
        <f>0</f>
        <v>0</v>
      </c>
      <c r="AC23" s="242">
        <f>0</f>
        <v>0</v>
      </c>
      <c r="AD23" s="242">
        <f>0</f>
        <v>0</v>
      </c>
      <c r="AE23" s="242">
        <f>0</f>
        <v>0</v>
      </c>
      <c r="AF23" s="242">
        <f>0</f>
        <v>0</v>
      </c>
      <c r="AG23" s="242">
        <f>0</f>
        <v>0</v>
      </c>
    </row>
    <row r="24" spans="1:33" s="286" customFormat="1" ht="15">
      <c r="A24" s="82">
        <v>3</v>
      </c>
      <c r="B24" s="34" t="s">
        <v>107</v>
      </c>
      <c r="C24" s="285">
        <f>5971063</f>
        <v>5971063</v>
      </c>
      <c r="D24" s="285">
        <f>4195626</f>
        <v>4195626</v>
      </c>
      <c r="E24" s="285">
        <f>3071266</f>
        <v>3071266</v>
      </c>
      <c r="F24" s="285">
        <f>5041227</f>
        <v>5041227</v>
      </c>
      <c r="G24" s="285">
        <f>3044000</f>
        <v>3044000</v>
      </c>
      <c r="H24" s="285">
        <f>2906476</f>
        <v>2906476</v>
      </c>
      <c r="I24" s="285">
        <f>3412279</f>
        <v>3412279</v>
      </c>
      <c r="J24" s="285">
        <f>2326459</f>
        <v>2326459</v>
      </c>
      <c r="K24" s="285">
        <f>3592847</f>
        <v>3592847</v>
      </c>
      <c r="L24" s="285">
        <f>3921630</f>
        <v>3921630</v>
      </c>
      <c r="M24" s="285">
        <f>0</f>
        <v>0</v>
      </c>
      <c r="N24" s="285">
        <f>0</f>
        <v>0</v>
      </c>
      <c r="O24" s="285">
        <f>0</f>
        <v>0</v>
      </c>
      <c r="P24" s="285">
        <f>0</f>
        <v>0</v>
      </c>
      <c r="Q24" s="285">
        <f>0</f>
        <v>0</v>
      </c>
      <c r="R24" s="285">
        <f>0</f>
        <v>0</v>
      </c>
      <c r="S24" s="285">
        <f>0</f>
        <v>0</v>
      </c>
      <c r="T24" s="285">
        <f>0</f>
        <v>0</v>
      </c>
      <c r="U24" s="285">
        <f>0</f>
        <v>0</v>
      </c>
      <c r="V24" s="285">
        <f>0</f>
        <v>0</v>
      </c>
      <c r="W24" s="285">
        <f>0</f>
        <v>0</v>
      </c>
      <c r="X24" s="285">
        <f>0</f>
        <v>0</v>
      </c>
      <c r="Y24" s="285">
        <f>0</f>
        <v>0</v>
      </c>
      <c r="Z24" s="285">
        <f>0</f>
        <v>0</v>
      </c>
      <c r="AA24" s="285">
        <f>0</f>
        <v>0</v>
      </c>
      <c r="AB24" s="285">
        <f>0</f>
        <v>0</v>
      </c>
      <c r="AC24" s="285">
        <f>0</f>
        <v>0</v>
      </c>
      <c r="AD24" s="285">
        <f>0</f>
        <v>0</v>
      </c>
      <c r="AE24" s="285">
        <f>0</f>
        <v>0</v>
      </c>
      <c r="AF24" s="285">
        <f>0</f>
        <v>0</v>
      </c>
      <c r="AG24" s="285">
        <f>0</f>
        <v>0</v>
      </c>
    </row>
    <row r="25" spans="1:33" s="286" customFormat="1" ht="24">
      <c r="A25" s="99" t="s">
        <v>253</v>
      </c>
      <c r="B25" s="100" t="s">
        <v>272</v>
      </c>
      <c r="C25" s="285">
        <f>0</f>
        <v>0</v>
      </c>
      <c r="D25" s="285">
        <f>0</f>
        <v>0</v>
      </c>
      <c r="E25" s="285">
        <f>0</f>
        <v>0</v>
      </c>
      <c r="F25" s="285">
        <f>0</f>
        <v>0</v>
      </c>
      <c r="G25" s="285">
        <f>0</f>
        <v>0</v>
      </c>
      <c r="H25" s="285">
        <f>0</f>
        <v>0</v>
      </c>
      <c r="I25" s="285">
        <f>0</f>
        <v>0</v>
      </c>
      <c r="J25" s="285">
        <f>0</f>
        <v>0</v>
      </c>
      <c r="K25" s="285">
        <f>0</f>
        <v>0</v>
      </c>
      <c r="L25" s="285">
        <f>0</f>
        <v>0</v>
      </c>
      <c r="M25" s="285">
        <f>0</f>
        <v>0</v>
      </c>
      <c r="N25" s="285">
        <f>0</f>
        <v>0</v>
      </c>
      <c r="O25" s="285">
        <f>0</f>
        <v>0</v>
      </c>
      <c r="P25" s="285">
        <f>0</f>
        <v>0</v>
      </c>
      <c r="Q25" s="285">
        <f>0</f>
        <v>0</v>
      </c>
      <c r="R25" s="285">
        <f>0</f>
        <v>0</v>
      </c>
      <c r="S25" s="285">
        <f>0</f>
        <v>0</v>
      </c>
      <c r="T25" s="285">
        <f>0</f>
        <v>0</v>
      </c>
      <c r="U25" s="285">
        <f>0</f>
        <v>0</v>
      </c>
      <c r="V25" s="285">
        <f>0</f>
        <v>0</v>
      </c>
      <c r="W25" s="285">
        <f>0</f>
        <v>0</v>
      </c>
      <c r="X25" s="285">
        <f>0</f>
        <v>0</v>
      </c>
      <c r="Y25" s="285">
        <f>0</f>
        <v>0</v>
      </c>
      <c r="Z25" s="285">
        <f>0</f>
        <v>0</v>
      </c>
      <c r="AA25" s="285">
        <f>0</f>
        <v>0</v>
      </c>
      <c r="AB25" s="285">
        <f>0</f>
        <v>0</v>
      </c>
      <c r="AC25" s="285">
        <f>0</f>
        <v>0</v>
      </c>
      <c r="AD25" s="285">
        <f>0</f>
        <v>0</v>
      </c>
      <c r="AE25" s="285">
        <f>0</f>
        <v>0</v>
      </c>
      <c r="AF25" s="285">
        <f>0</f>
        <v>0</v>
      </c>
      <c r="AG25" s="285">
        <f>0</f>
        <v>0</v>
      </c>
    </row>
    <row r="26" spans="1:33" ht="14.25">
      <c r="A26" s="101" t="s">
        <v>254</v>
      </c>
      <c r="B26" s="103" t="s">
        <v>108</v>
      </c>
      <c r="C26" s="242">
        <f>0</f>
        <v>0</v>
      </c>
      <c r="D26" s="242">
        <f>0</f>
        <v>0</v>
      </c>
      <c r="E26" s="242">
        <f>0</f>
        <v>0</v>
      </c>
      <c r="F26" s="242">
        <f>0</f>
        <v>0</v>
      </c>
      <c r="G26" s="242">
        <f>0</f>
        <v>0</v>
      </c>
      <c r="H26" s="242">
        <f>0</f>
        <v>0</v>
      </c>
      <c r="I26" s="242">
        <f>0</f>
        <v>0</v>
      </c>
      <c r="J26" s="242">
        <f>0</f>
        <v>0</v>
      </c>
      <c r="K26" s="242">
        <f>0</f>
        <v>0</v>
      </c>
      <c r="L26" s="242">
        <f>0</f>
        <v>0</v>
      </c>
      <c r="M26" s="242">
        <f>0</f>
        <v>0</v>
      </c>
      <c r="N26" s="242">
        <f>0</f>
        <v>0</v>
      </c>
      <c r="O26" s="242">
        <f>0</f>
        <v>0</v>
      </c>
      <c r="P26" s="242">
        <f>0</f>
        <v>0</v>
      </c>
      <c r="Q26" s="242">
        <f>0</f>
        <v>0</v>
      </c>
      <c r="R26" s="242">
        <f>0</f>
        <v>0</v>
      </c>
      <c r="S26" s="242">
        <f>0</f>
        <v>0</v>
      </c>
      <c r="T26" s="242">
        <f>0</f>
        <v>0</v>
      </c>
      <c r="U26" s="242">
        <f>0</f>
        <v>0</v>
      </c>
      <c r="V26" s="242">
        <f>0</f>
        <v>0</v>
      </c>
      <c r="W26" s="242">
        <f>0</f>
        <v>0</v>
      </c>
      <c r="X26" s="242">
        <f>0</f>
        <v>0</v>
      </c>
      <c r="Y26" s="242">
        <f>0</f>
        <v>0</v>
      </c>
      <c r="Z26" s="242">
        <f>0</f>
        <v>0</v>
      </c>
      <c r="AA26" s="242">
        <f>0</f>
        <v>0</v>
      </c>
      <c r="AB26" s="242">
        <f>0</f>
        <v>0</v>
      </c>
      <c r="AC26" s="242">
        <f>0</f>
        <v>0</v>
      </c>
      <c r="AD26" s="242">
        <f>0</f>
        <v>0</v>
      </c>
      <c r="AE26" s="242">
        <f>0</f>
        <v>0</v>
      </c>
      <c r="AF26" s="242">
        <f>0</f>
        <v>0</v>
      </c>
      <c r="AG26" s="242">
        <f>0</f>
        <v>0</v>
      </c>
    </row>
    <row r="27" spans="1:33" s="286" customFormat="1" ht="24">
      <c r="A27" s="99" t="s">
        <v>255</v>
      </c>
      <c r="B27" s="243" t="s">
        <v>273</v>
      </c>
      <c r="C27" s="285">
        <f>0</f>
        <v>0</v>
      </c>
      <c r="D27" s="285">
        <f>0</f>
        <v>0</v>
      </c>
      <c r="E27" s="285">
        <f>0</f>
        <v>0</v>
      </c>
      <c r="F27" s="285">
        <f>0</f>
        <v>0</v>
      </c>
      <c r="G27" s="285">
        <f>0</f>
        <v>0</v>
      </c>
      <c r="H27" s="285">
        <f>0</f>
        <v>0</v>
      </c>
      <c r="I27" s="285">
        <f>0</f>
        <v>0</v>
      </c>
      <c r="J27" s="285">
        <f>0</f>
        <v>0</v>
      </c>
      <c r="K27" s="285">
        <f>0</f>
        <v>0</v>
      </c>
      <c r="L27" s="285">
        <f>0</f>
        <v>0</v>
      </c>
      <c r="M27" s="285">
        <f>0</f>
        <v>0</v>
      </c>
      <c r="N27" s="285">
        <f>0</f>
        <v>0</v>
      </c>
      <c r="O27" s="285">
        <f>0</f>
        <v>0</v>
      </c>
      <c r="P27" s="285">
        <f>0</f>
        <v>0</v>
      </c>
      <c r="Q27" s="285">
        <f>0</f>
        <v>0</v>
      </c>
      <c r="R27" s="285">
        <f>0</f>
        <v>0</v>
      </c>
      <c r="S27" s="285">
        <f>0</f>
        <v>0</v>
      </c>
      <c r="T27" s="285">
        <f>0</f>
        <v>0</v>
      </c>
      <c r="U27" s="285">
        <f>0</f>
        <v>0</v>
      </c>
      <c r="V27" s="285">
        <f>0</f>
        <v>0</v>
      </c>
      <c r="W27" s="285">
        <f>0</f>
        <v>0</v>
      </c>
      <c r="X27" s="285">
        <f>0</f>
        <v>0</v>
      </c>
      <c r="Y27" s="285">
        <f>0</f>
        <v>0</v>
      </c>
      <c r="Z27" s="285">
        <f>0</f>
        <v>0</v>
      </c>
      <c r="AA27" s="285">
        <f>0</f>
        <v>0</v>
      </c>
      <c r="AB27" s="285">
        <f>0</f>
        <v>0</v>
      </c>
      <c r="AC27" s="285">
        <f>0</f>
        <v>0</v>
      </c>
      <c r="AD27" s="285">
        <f>0</f>
        <v>0</v>
      </c>
      <c r="AE27" s="285">
        <f>0</f>
        <v>0</v>
      </c>
      <c r="AF27" s="285">
        <f>0</f>
        <v>0</v>
      </c>
      <c r="AG27" s="285">
        <f>0</f>
        <v>0</v>
      </c>
    </row>
    <row r="28" spans="1:33" ht="14.25">
      <c r="A28" s="101" t="s">
        <v>256</v>
      </c>
      <c r="B28" s="103" t="s">
        <v>108</v>
      </c>
      <c r="C28" s="242">
        <f>0</f>
        <v>0</v>
      </c>
      <c r="D28" s="242">
        <f>0</f>
        <v>0</v>
      </c>
      <c r="E28" s="242">
        <f>0</f>
        <v>0</v>
      </c>
      <c r="F28" s="242">
        <f>0</f>
        <v>0</v>
      </c>
      <c r="G28" s="242">
        <f>0</f>
        <v>0</v>
      </c>
      <c r="H28" s="242">
        <f>0</f>
        <v>0</v>
      </c>
      <c r="I28" s="242">
        <f>0</f>
        <v>0</v>
      </c>
      <c r="J28" s="242">
        <f>0</f>
        <v>0</v>
      </c>
      <c r="K28" s="242">
        <f>0</f>
        <v>0</v>
      </c>
      <c r="L28" s="242">
        <f>0</f>
        <v>0</v>
      </c>
      <c r="M28" s="242">
        <f>0</f>
        <v>0</v>
      </c>
      <c r="N28" s="242">
        <f>0</f>
        <v>0</v>
      </c>
      <c r="O28" s="242">
        <f>0</f>
        <v>0</v>
      </c>
      <c r="P28" s="242">
        <f>0</f>
        <v>0</v>
      </c>
      <c r="Q28" s="242">
        <f>0</f>
        <v>0</v>
      </c>
      <c r="R28" s="242">
        <f>0</f>
        <v>0</v>
      </c>
      <c r="S28" s="242">
        <f>0</f>
        <v>0</v>
      </c>
      <c r="T28" s="242">
        <f>0</f>
        <v>0</v>
      </c>
      <c r="U28" s="242">
        <f>0</f>
        <v>0</v>
      </c>
      <c r="V28" s="242">
        <f>0</f>
        <v>0</v>
      </c>
      <c r="W28" s="242">
        <f>0</f>
        <v>0</v>
      </c>
      <c r="X28" s="242">
        <f>0</f>
        <v>0</v>
      </c>
      <c r="Y28" s="242">
        <f>0</f>
        <v>0</v>
      </c>
      <c r="Z28" s="242">
        <f>0</f>
        <v>0</v>
      </c>
      <c r="AA28" s="242">
        <f>0</f>
        <v>0</v>
      </c>
      <c r="AB28" s="242">
        <f>0</f>
        <v>0</v>
      </c>
      <c r="AC28" s="242">
        <f>0</f>
        <v>0</v>
      </c>
      <c r="AD28" s="242">
        <f>0</f>
        <v>0</v>
      </c>
      <c r="AE28" s="242">
        <f>0</f>
        <v>0</v>
      </c>
      <c r="AF28" s="242">
        <f>0</f>
        <v>0</v>
      </c>
      <c r="AG28" s="242">
        <f>0</f>
        <v>0</v>
      </c>
    </row>
    <row r="29" spans="1:33" s="286" customFormat="1" ht="15">
      <c r="A29" s="99">
        <v>5</v>
      </c>
      <c r="B29" s="100" t="s">
        <v>109</v>
      </c>
      <c r="C29" s="285">
        <f>0</f>
        <v>0</v>
      </c>
      <c r="D29" s="285">
        <f>0</f>
        <v>0</v>
      </c>
      <c r="E29" s="285">
        <f>0</f>
        <v>0</v>
      </c>
      <c r="F29" s="285">
        <f>0</f>
        <v>0</v>
      </c>
      <c r="G29" s="285">
        <f>0</f>
        <v>0</v>
      </c>
      <c r="H29" s="285">
        <f>0</f>
        <v>0</v>
      </c>
      <c r="I29" s="285">
        <f>0</f>
        <v>0</v>
      </c>
      <c r="J29" s="285">
        <f>0</f>
        <v>0</v>
      </c>
      <c r="K29" s="285">
        <f>0</f>
        <v>0</v>
      </c>
      <c r="L29" s="285">
        <f>0</f>
        <v>0</v>
      </c>
      <c r="M29" s="285">
        <f>0</f>
        <v>0</v>
      </c>
      <c r="N29" s="285">
        <f>0</f>
        <v>0</v>
      </c>
      <c r="O29" s="285">
        <f>0</f>
        <v>0</v>
      </c>
      <c r="P29" s="285">
        <f>0</f>
        <v>0</v>
      </c>
      <c r="Q29" s="285">
        <f>0</f>
        <v>0</v>
      </c>
      <c r="R29" s="285">
        <f>0</f>
        <v>0</v>
      </c>
      <c r="S29" s="285">
        <f>0</f>
        <v>0</v>
      </c>
      <c r="T29" s="285">
        <f>0</f>
        <v>0</v>
      </c>
      <c r="U29" s="285">
        <f>0</f>
        <v>0</v>
      </c>
      <c r="V29" s="285">
        <f>0</f>
        <v>0</v>
      </c>
      <c r="W29" s="285">
        <f>0</f>
        <v>0</v>
      </c>
      <c r="X29" s="285">
        <f>0</f>
        <v>0</v>
      </c>
      <c r="Y29" s="285">
        <f>0</f>
        <v>0</v>
      </c>
      <c r="Z29" s="285">
        <f>0</f>
        <v>0</v>
      </c>
      <c r="AA29" s="285">
        <f>0</f>
        <v>0</v>
      </c>
      <c r="AB29" s="285">
        <f>0</f>
        <v>0</v>
      </c>
      <c r="AC29" s="285">
        <f>0</f>
        <v>0</v>
      </c>
      <c r="AD29" s="285">
        <f>0</f>
        <v>0</v>
      </c>
      <c r="AE29" s="285">
        <f>0</f>
        <v>0</v>
      </c>
      <c r="AF29" s="285">
        <f>0</f>
        <v>0</v>
      </c>
      <c r="AG29" s="285">
        <f>0</f>
        <v>0</v>
      </c>
    </row>
    <row r="30" spans="1:33" ht="14.25">
      <c r="A30" s="101" t="s">
        <v>110</v>
      </c>
      <c r="B30" s="103" t="s">
        <v>108</v>
      </c>
      <c r="C30" s="242">
        <f>0</f>
        <v>0</v>
      </c>
      <c r="D30" s="242">
        <f>0</f>
        <v>0</v>
      </c>
      <c r="E30" s="242">
        <f>0</f>
        <v>0</v>
      </c>
      <c r="F30" s="242">
        <f>0</f>
        <v>0</v>
      </c>
      <c r="G30" s="242">
        <f>0</f>
        <v>0</v>
      </c>
      <c r="H30" s="242">
        <f>0</f>
        <v>0</v>
      </c>
      <c r="I30" s="242">
        <f>0</f>
        <v>0</v>
      </c>
      <c r="J30" s="242">
        <f>0</f>
        <v>0</v>
      </c>
      <c r="K30" s="242">
        <f>0</f>
        <v>0</v>
      </c>
      <c r="L30" s="242">
        <f>0</f>
        <v>0</v>
      </c>
      <c r="M30" s="242">
        <f>0</f>
        <v>0</v>
      </c>
      <c r="N30" s="242">
        <f>0</f>
        <v>0</v>
      </c>
      <c r="O30" s="242">
        <f>0</f>
        <v>0</v>
      </c>
      <c r="P30" s="242">
        <f>0</f>
        <v>0</v>
      </c>
      <c r="Q30" s="242">
        <f>0</f>
        <v>0</v>
      </c>
      <c r="R30" s="242">
        <f>0</f>
        <v>0</v>
      </c>
      <c r="S30" s="242">
        <f>0</f>
        <v>0</v>
      </c>
      <c r="T30" s="242">
        <f>0</f>
        <v>0</v>
      </c>
      <c r="U30" s="242">
        <f>0</f>
        <v>0</v>
      </c>
      <c r="V30" s="242">
        <f>0</f>
        <v>0</v>
      </c>
      <c r="W30" s="242">
        <f>0</f>
        <v>0</v>
      </c>
      <c r="X30" s="242">
        <f>0</f>
        <v>0</v>
      </c>
      <c r="Y30" s="242">
        <f>0</f>
        <v>0</v>
      </c>
      <c r="Z30" s="242">
        <f>0</f>
        <v>0</v>
      </c>
      <c r="AA30" s="242">
        <f>0</f>
        <v>0</v>
      </c>
      <c r="AB30" s="242">
        <f>0</f>
        <v>0</v>
      </c>
      <c r="AC30" s="242">
        <f>0</f>
        <v>0</v>
      </c>
      <c r="AD30" s="242">
        <f>0</f>
        <v>0</v>
      </c>
      <c r="AE30" s="242">
        <f>0</f>
        <v>0</v>
      </c>
      <c r="AF30" s="242">
        <f>0</f>
        <v>0</v>
      </c>
      <c r="AG30" s="242">
        <f>0</f>
        <v>0</v>
      </c>
    </row>
    <row r="31" spans="1:33" s="286" customFormat="1" ht="15">
      <c r="A31" s="82">
        <v>6</v>
      </c>
      <c r="B31" s="34" t="s">
        <v>111</v>
      </c>
      <c r="C31" s="285">
        <f>5971063</f>
        <v>5971063</v>
      </c>
      <c r="D31" s="285">
        <f>4195626</f>
        <v>4195626</v>
      </c>
      <c r="E31" s="285">
        <f>3071266</f>
        <v>3071266</v>
      </c>
      <c r="F31" s="285">
        <f>5041227</f>
        <v>5041227</v>
      </c>
      <c r="G31" s="285">
        <f>3044000</f>
        <v>3044000</v>
      </c>
      <c r="H31" s="285">
        <f>2906476</f>
        <v>2906476</v>
      </c>
      <c r="I31" s="285">
        <f>3412279</f>
        <v>3412279</v>
      </c>
      <c r="J31" s="285">
        <f>2326459</f>
        <v>2326459</v>
      </c>
      <c r="K31" s="285">
        <f>3592847</f>
        <v>3592847</v>
      </c>
      <c r="L31" s="285">
        <f>3921630</f>
        <v>3921630</v>
      </c>
      <c r="M31" s="285">
        <f>0</f>
        <v>0</v>
      </c>
      <c r="N31" s="285">
        <f>0</f>
        <v>0</v>
      </c>
      <c r="O31" s="285">
        <f>0</f>
        <v>0</v>
      </c>
      <c r="P31" s="285">
        <f>0</f>
        <v>0</v>
      </c>
      <c r="Q31" s="285">
        <f>0</f>
        <v>0</v>
      </c>
      <c r="R31" s="285">
        <f>0</f>
        <v>0</v>
      </c>
      <c r="S31" s="285">
        <f>0</f>
        <v>0</v>
      </c>
      <c r="T31" s="285">
        <f>0</f>
        <v>0</v>
      </c>
      <c r="U31" s="285">
        <f>0</f>
        <v>0</v>
      </c>
      <c r="V31" s="285">
        <f>0</f>
        <v>0</v>
      </c>
      <c r="W31" s="285">
        <f>0</f>
        <v>0</v>
      </c>
      <c r="X31" s="285">
        <f>0</f>
        <v>0</v>
      </c>
      <c r="Y31" s="285">
        <f>0</f>
        <v>0</v>
      </c>
      <c r="Z31" s="285">
        <f>0</f>
        <v>0</v>
      </c>
      <c r="AA31" s="285">
        <f>0</f>
        <v>0</v>
      </c>
      <c r="AB31" s="285">
        <f>0</f>
        <v>0</v>
      </c>
      <c r="AC31" s="285">
        <f>0</f>
        <v>0</v>
      </c>
      <c r="AD31" s="285">
        <f>0</f>
        <v>0</v>
      </c>
      <c r="AE31" s="285">
        <f>0</f>
        <v>0</v>
      </c>
      <c r="AF31" s="285">
        <f>0</f>
        <v>0</v>
      </c>
      <c r="AG31" s="285">
        <f>0</f>
        <v>0</v>
      </c>
    </row>
    <row r="32" spans="1:33" s="286" customFormat="1" ht="15">
      <c r="A32" s="99">
        <v>7</v>
      </c>
      <c r="B32" s="100" t="s">
        <v>11</v>
      </c>
      <c r="C32" s="285">
        <f>4400600</f>
        <v>4400600</v>
      </c>
      <c r="D32" s="285">
        <f>1391000</f>
        <v>1391000</v>
      </c>
      <c r="E32" s="285">
        <f>1936900</f>
        <v>1936900</v>
      </c>
      <c r="F32" s="285">
        <f>2000000</f>
        <v>2000000</v>
      </c>
      <c r="G32" s="285">
        <f>2044000</f>
        <v>2044000</v>
      </c>
      <c r="H32" s="285">
        <f>2200000</f>
        <v>2200000</v>
      </c>
      <c r="I32" s="285">
        <f>2570000</f>
        <v>2570000</v>
      </c>
      <c r="J32" s="285">
        <f>716400</f>
        <v>716400</v>
      </c>
      <c r="K32" s="285">
        <f>2696576</f>
        <v>2696576</v>
      </c>
      <c r="L32" s="285">
        <f>1813635</f>
        <v>1813635</v>
      </c>
      <c r="M32" s="285">
        <f>0</f>
        <v>0</v>
      </c>
      <c r="N32" s="285">
        <f>0</f>
        <v>0</v>
      </c>
      <c r="O32" s="285">
        <f>0</f>
        <v>0</v>
      </c>
      <c r="P32" s="285">
        <f>0</f>
        <v>0</v>
      </c>
      <c r="Q32" s="285">
        <f>0</f>
        <v>0</v>
      </c>
      <c r="R32" s="285">
        <f>0</f>
        <v>0</v>
      </c>
      <c r="S32" s="285">
        <f>0</f>
        <v>0</v>
      </c>
      <c r="T32" s="285">
        <f>0</f>
        <v>0</v>
      </c>
      <c r="U32" s="285">
        <f>0</f>
        <v>0</v>
      </c>
      <c r="V32" s="285">
        <f>0</f>
        <v>0</v>
      </c>
      <c r="W32" s="285">
        <f>0</f>
        <v>0</v>
      </c>
      <c r="X32" s="285">
        <f>0</f>
        <v>0</v>
      </c>
      <c r="Y32" s="285">
        <f>0</f>
        <v>0</v>
      </c>
      <c r="Z32" s="285">
        <f>0</f>
        <v>0</v>
      </c>
      <c r="AA32" s="285">
        <f>0</f>
        <v>0</v>
      </c>
      <c r="AB32" s="285">
        <f>0</f>
        <v>0</v>
      </c>
      <c r="AC32" s="285">
        <f>0</f>
        <v>0</v>
      </c>
      <c r="AD32" s="285">
        <f>0</f>
        <v>0</v>
      </c>
      <c r="AE32" s="285">
        <f>0</f>
        <v>0</v>
      </c>
      <c r="AF32" s="285">
        <f>0</f>
        <v>0</v>
      </c>
      <c r="AG32" s="285">
        <f>0</f>
        <v>0</v>
      </c>
    </row>
    <row r="33" spans="1:33" ht="24">
      <c r="A33" s="85" t="s">
        <v>112</v>
      </c>
      <c r="B33" s="90" t="s">
        <v>274</v>
      </c>
      <c r="C33" s="241">
        <f>3670600</f>
        <v>3670600</v>
      </c>
      <c r="D33" s="241">
        <f>781000</f>
        <v>781000</v>
      </c>
      <c r="E33" s="241">
        <f>1396900</f>
        <v>1396900</v>
      </c>
      <c r="F33" s="241">
        <f>1500000</f>
        <v>1500000</v>
      </c>
      <c r="G33" s="241">
        <f>1694000</f>
        <v>1694000</v>
      </c>
      <c r="H33" s="241">
        <f>1950000</f>
        <v>1950000</v>
      </c>
      <c r="I33" s="241">
        <f>2450000</f>
        <v>2450000</v>
      </c>
      <c r="J33" s="241">
        <f>500000</f>
        <v>500000</v>
      </c>
      <c r="K33" s="241">
        <f>2566576</f>
        <v>2566576</v>
      </c>
      <c r="L33" s="241">
        <f>1693635</f>
        <v>1693635</v>
      </c>
      <c r="M33" s="241">
        <f>0</f>
        <v>0</v>
      </c>
      <c r="N33" s="241">
        <f>0</f>
        <v>0</v>
      </c>
      <c r="O33" s="241">
        <f>0</f>
        <v>0</v>
      </c>
      <c r="P33" s="241">
        <f>0</f>
        <v>0</v>
      </c>
      <c r="Q33" s="241">
        <f>0</f>
        <v>0</v>
      </c>
      <c r="R33" s="241">
        <f>0</f>
        <v>0</v>
      </c>
      <c r="S33" s="241">
        <f>0</f>
        <v>0</v>
      </c>
      <c r="T33" s="241">
        <f>0</f>
        <v>0</v>
      </c>
      <c r="U33" s="241">
        <f>0</f>
        <v>0</v>
      </c>
      <c r="V33" s="241">
        <f>0</f>
        <v>0</v>
      </c>
      <c r="W33" s="241">
        <f>0</f>
        <v>0</v>
      </c>
      <c r="X33" s="241">
        <f>0</f>
        <v>0</v>
      </c>
      <c r="Y33" s="241">
        <f>0</f>
        <v>0</v>
      </c>
      <c r="Z33" s="241">
        <f>0</f>
        <v>0</v>
      </c>
      <c r="AA33" s="241">
        <f>0</f>
        <v>0</v>
      </c>
      <c r="AB33" s="241">
        <f>0</f>
        <v>0</v>
      </c>
      <c r="AC33" s="241">
        <f>0</f>
        <v>0</v>
      </c>
      <c r="AD33" s="241">
        <f>0</f>
        <v>0</v>
      </c>
      <c r="AE33" s="241">
        <f>0</f>
        <v>0</v>
      </c>
      <c r="AF33" s="241">
        <f>0</f>
        <v>0</v>
      </c>
      <c r="AG33" s="241">
        <f>0</f>
        <v>0</v>
      </c>
    </row>
    <row r="34" spans="1:33" ht="24">
      <c r="A34" s="85" t="s">
        <v>113</v>
      </c>
      <c r="B34" s="87" t="s">
        <v>114</v>
      </c>
      <c r="C34" s="241">
        <f>0</f>
        <v>0</v>
      </c>
      <c r="D34" s="241">
        <f>0</f>
        <v>0</v>
      </c>
      <c r="E34" s="241">
        <f>0</f>
        <v>0</v>
      </c>
      <c r="F34" s="241">
        <f>0</f>
        <v>0</v>
      </c>
      <c r="G34" s="241">
        <f>0</f>
        <v>0</v>
      </c>
      <c r="H34" s="241">
        <f>0</f>
        <v>0</v>
      </c>
      <c r="I34" s="241">
        <f>0</f>
        <v>0</v>
      </c>
      <c r="J34" s="241">
        <f>0</f>
        <v>0</v>
      </c>
      <c r="K34" s="241">
        <f>0</f>
        <v>0</v>
      </c>
      <c r="L34" s="241">
        <f>0</f>
        <v>0</v>
      </c>
      <c r="M34" s="241">
        <f>0</f>
        <v>0</v>
      </c>
      <c r="N34" s="241">
        <f>0</f>
        <v>0</v>
      </c>
      <c r="O34" s="241">
        <f>0</f>
        <v>0</v>
      </c>
      <c r="P34" s="241">
        <f>0</f>
        <v>0</v>
      </c>
      <c r="Q34" s="241">
        <f>0</f>
        <v>0</v>
      </c>
      <c r="R34" s="241">
        <f>0</f>
        <v>0</v>
      </c>
      <c r="S34" s="241">
        <f>0</f>
        <v>0</v>
      </c>
      <c r="T34" s="241">
        <f>0</f>
        <v>0</v>
      </c>
      <c r="U34" s="241">
        <f>0</f>
        <v>0</v>
      </c>
      <c r="V34" s="241">
        <f>0</f>
        <v>0</v>
      </c>
      <c r="W34" s="241">
        <f>0</f>
        <v>0</v>
      </c>
      <c r="X34" s="241">
        <f>0</f>
        <v>0</v>
      </c>
      <c r="Y34" s="241">
        <f>0</f>
        <v>0</v>
      </c>
      <c r="Z34" s="241">
        <f>0</f>
        <v>0</v>
      </c>
      <c r="AA34" s="241">
        <f>0</f>
        <v>0</v>
      </c>
      <c r="AB34" s="241">
        <f>0</f>
        <v>0</v>
      </c>
      <c r="AC34" s="241">
        <f>0</f>
        <v>0</v>
      </c>
      <c r="AD34" s="241">
        <f>0</f>
        <v>0</v>
      </c>
      <c r="AE34" s="241">
        <f>0</f>
        <v>0</v>
      </c>
      <c r="AF34" s="241">
        <f>0</f>
        <v>0</v>
      </c>
      <c r="AG34" s="241">
        <f>0</f>
        <v>0</v>
      </c>
    </row>
    <row r="35" spans="1:33" ht="14.25">
      <c r="A35" s="85" t="s">
        <v>115</v>
      </c>
      <c r="B35" s="86" t="s">
        <v>275</v>
      </c>
      <c r="C35" s="241">
        <f>730000</f>
        <v>730000</v>
      </c>
      <c r="D35" s="241">
        <f>610000</f>
        <v>610000</v>
      </c>
      <c r="E35" s="241">
        <f>540000</f>
        <v>540000</v>
      </c>
      <c r="F35" s="241">
        <f>500000</f>
        <v>500000</v>
      </c>
      <c r="G35" s="241">
        <f>350000</f>
        <v>350000</v>
      </c>
      <c r="H35" s="241">
        <f>250000</f>
        <v>250000</v>
      </c>
      <c r="I35" s="241">
        <f>120000</f>
        <v>120000</v>
      </c>
      <c r="J35" s="241">
        <f>216400</f>
        <v>216400</v>
      </c>
      <c r="K35" s="241">
        <f>130000</f>
        <v>130000</v>
      </c>
      <c r="L35" s="241">
        <f>120000</f>
        <v>120000</v>
      </c>
      <c r="M35" s="241">
        <f>0</f>
        <v>0</v>
      </c>
      <c r="N35" s="241">
        <f>0</f>
        <v>0</v>
      </c>
      <c r="O35" s="241">
        <f>0</f>
        <v>0</v>
      </c>
      <c r="P35" s="241">
        <f>0</f>
        <v>0</v>
      </c>
      <c r="Q35" s="241">
        <f>0</f>
        <v>0</v>
      </c>
      <c r="R35" s="241">
        <f>0</f>
        <v>0</v>
      </c>
      <c r="S35" s="241">
        <f>0</f>
        <v>0</v>
      </c>
      <c r="T35" s="241">
        <f>0</f>
        <v>0</v>
      </c>
      <c r="U35" s="241">
        <f>0</f>
        <v>0</v>
      </c>
      <c r="V35" s="241">
        <f>0</f>
        <v>0</v>
      </c>
      <c r="W35" s="241">
        <f>0</f>
        <v>0</v>
      </c>
      <c r="X35" s="241">
        <f>0</f>
        <v>0</v>
      </c>
      <c r="Y35" s="241">
        <f>0</f>
        <v>0</v>
      </c>
      <c r="Z35" s="241">
        <f>0</f>
        <v>0</v>
      </c>
      <c r="AA35" s="241">
        <f>0</f>
        <v>0</v>
      </c>
      <c r="AB35" s="241">
        <f>0</f>
        <v>0</v>
      </c>
      <c r="AC35" s="241">
        <f>0</f>
        <v>0</v>
      </c>
      <c r="AD35" s="241">
        <f>0</f>
        <v>0</v>
      </c>
      <c r="AE35" s="241">
        <f>0</f>
        <v>0</v>
      </c>
      <c r="AF35" s="241">
        <f>0</f>
        <v>0</v>
      </c>
      <c r="AG35" s="241">
        <f>0</f>
        <v>0</v>
      </c>
    </row>
    <row r="36" spans="1:33" ht="14.25">
      <c r="A36" s="101" t="s">
        <v>116</v>
      </c>
      <c r="B36" s="102" t="s">
        <v>276</v>
      </c>
      <c r="C36" s="242">
        <f>720000</f>
        <v>720000</v>
      </c>
      <c r="D36" s="242">
        <f>600000</f>
        <v>600000</v>
      </c>
      <c r="E36" s="242">
        <f>530000</f>
        <v>530000</v>
      </c>
      <c r="F36" s="242">
        <f>490000</f>
        <v>490000</v>
      </c>
      <c r="G36" s="242">
        <f>350000</f>
        <v>350000</v>
      </c>
      <c r="H36" s="242">
        <f>250000</f>
        <v>250000</v>
      </c>
      <c r="I36" s="242">
        <f>120000</f>
        <v>120000</v>
      </c>
      <c r="J36" s="242">
        <f>216400</f>
        <v>216400</v>
      </c>
      <c r="K36" s="242">
        <f>130000</f>
        <v>130000</v>
      </c>
      <c r="L36" s="242">
        <f>120000</f>
        <v>120000</v>
      </c>
      <c r="M36" s="242">
        <f>0</f>
        <v>0</v>
      </c>
      <c r="N36" s="242">
        <f>0</f>
        <v>0</v>
      </c>
      <c r="O36" s="242">
        <f>0</f>
        <v>0</v>
      </c>
      <c r="P36" s="242">
        <f>0</f>
        <v>0</v>
      </c>
      <c r="Q36" s="242">
        <f>0</f>
        <v>0</v>
      </c>
      <c r="R36" s="242">
        <f>0</f>
        <v>0</v>
      </c>
      <c r="S36" s="242">
        <f>0</f>
        <v>0</v>
      </c>
      <c r="T36" s="242">
        <f>0</f>
        <v>0</v>
      </c>
      <c r="U36" s="242">
        <f>0</f>
        <v>0</v>
      </c>
      <c r="V36" s="242">
        <f>0</f>
        <v>0</v>
      </c>
      <c r="W36" s="242">
        <f>0</f>
        <v>0</v>
      </c>
      <c r="X36" s="242">
        <f>0</f>
        <v>0</v>
      </c>
      <c r="Y36" s="242">
        <f>0</f>
        <v>0</v>
      </c>
      <c r="Z36" s="242">
        <f>0</f>
        <v>0</v>
      </c>
      <c r="AA36" s="242">
        <f>0</f>
        <v>0</v>
      </c>
      <c r="AB36" s="242">
        <f>0</f>
        <v>0</v>
      </c>
      <c r="AC36" s="242">
        <f>0</f>
        <v>0</v>
      </c>
      <c r="AD36" s="242">
        <f>0</f>
        <v>0</v>
      </c>
      <c r="AE36" s="242">
        <f>0</f>
        <v>0</v>
      </c>
      <c r="AF36" s="242">
        <f>0</f>
        <v>0</v>
      </c>
      <c r="AG36" s="242">
        <f>0</f>
        <v>0</v>
      </c>
    </row>
    <row r="37" spans="1:33" s="286" customFormat="1" ht="15">
      <c r="A37" s="82">
        <v>8</v>
      </c>
      <c r="B37" s="83" t="s">
        <v>117</v>
      </c>
      <c r="C37" s="285">
        <f>0</f>
        <v>0</v>
      </c>
      <c r="D37" s="285">
        <f>0</f>
        <v>0</v>
      </c>
      <c r="E37" s="285">
        <f>0</f>
        <v>0</v>
      </c>
      <c r="F37" s="285">
        <f>0</f>
        <v>0</v>
      </c>
      <c r="G37" s="285">
        <f>0</f>
        <v>0</v>
      </c>
      <c r="H37" s="285">
        <f>0</f>
        <v>0</v>
      </c>
      <c r="I37" s="285">
        <f>0</f>
        <v>0</v>
      </c>
      <c r="J37" s="285">
        <f>0</f>
        <v>0</v>
      </c>
      <c r="K37" s="285">
        <f>0</f>
        <v>0</v>
      </c>
      <c r="L37" s="285">
        <f>0</f>
        <v>0</v>
      </c>
      <c r="M37" s="285">
        <f>0</f>
        <v>0</v>
      </c>
      <c r="N37" s="285">
        <f>0</f>
        <v>0</v>
      </c>
      <c r="O37" s="285">
        <f>0</f>
        <v>0</v>
      </c>
      <c r="P37" s="285">
        <f>0</f>
        <v>0</v>
      </c>
      <c r="Q37" s="285">
        <f>0</f>
        <v>0</v>
      </c>
      <c r="R37" s="285">
        <f>0</f>
        <v>0</v>
      </c>
      <c r="S37" s="285">
        <f>0</f>
        <v>0</v>
      </c>
      <c r="T37" s="285">
        <f>0</f>
        <v>0</v>
      </c>
      <c r="U37" s="285">
        <f>0</f>
        <v>0</v>
      </c>
      <c r="V37" s="285">
        <f>0</f>
        <v>0</v>
      </c>
      <c r="W37" s="285">
        <f>0</f>
        <v>0</v>
      </c>
      <c r="X37" s="285">
        <f>0</f>
        <v>0</v>
      </c>
      <c r="Y37" s="285">
        <f>0</f>
        <v>0</v>
      </c>
      <c r="Z37" s="285">
        <f>0</f>
        <v>0</v>
      </c>
      <c r="AA37" s="285">
        <f>0</f>
        <v>0</v>
      </c>
      <c r="AB37" s="285">
        <f>0</f>
        <v>0</v>
      </c>
      <c r="AC37" s="285">
        <f>0</f>
        <v>0</v>
      </c>
      <c r="AD37" s="285">
        <f>0</f>
        <v>0</v>
      </c>
      <c r="AE37" s="285">
        <f>0</f>
        <v>0</v>
      </c>
      <c r="AF37" s="285">
        <f>0</f>
        <v>0</v>
      </c>
      <c r="AG37" s="285">
        <f>0</f>
        <v>0</v>
      </c>
    </row>
    <row r="38" spans="1:33" s="286" customFormat="1" ht="15">
      <c r="A38" s="82">
        <v>9</v>
      </c>
      <c r="B38" s="34" t="s">
        <v>118</v>
      </c>
      <c r="C38" s="285">
        <f>1570463</f>
        <v>1570463</v>
      </c>
      <c r="D38" s="285">
        <f>2804626</f>
        <v>2804626</v>
      </c>
      <c r="E38" s="285">
        <f>1134366</f>
        <v>1134366</v>
      </c>
      <c r="F38" s="285">
        <f>3041227</f>
        <v>3041227</v>
      </c>
      <c r="G38" s="285">
        <f>1000000</f>
        <v>1000000</v>
      </c>
      <c r="H38" s="285">
        <f>706476</f>
        <v>706476</v>
      </c>
      <c r="I38" s="285">
        <f>842279</f>
        <v>842279</v>
      </c>
      <c r="J38" s="285">
        <f>1610059</f>
        <v>1610059</v>
      </c>
      <c r="K38" s="285">
        <f>896271</f>
        <v>896271</v>
      </c>
      <c r="L38" s="285">
        <f>2107995</f>
        <v>2107995</v>
      </c>
      <c r="M38" s="285">
        <f>0</f>
        <v>0</v>
      </c>
      <c r="N38" s="285">
        <f>0</f>
        <v>0</v>
      </c>
      <c r="O38" s="285">
        <f>0</f>
        <v>0</v>
      </c>
      <c r="P38" s="285">
        <f>0</f>
        <v>0</v>
      </c>
      <c r="Q38" s="285">
        <f>0</f>
        <v>0</v>
      </c>
      <c r="R38" s="285">
        <f>0</f>
        <v>0</v>
      </c>
      <c r="S38" s="285">
        <f>0</f>
        <v>0</v>
      </c>
      <c r="T38" s="285">
        <f>0</f>
        <v>0</v>
      </c>
      <c r="U38" s="285">
        <f>0</f>
        <v>0</v>
      </c>
      <c r="V38" s="285">
        <f>0</f>
        <v>0</v>
      </c>
      <c r="W38" s="285">
        <f>0</f>
        <v>0</v>
      </c>
      <c r="X38" s="285">
        <f>0</f>
        <v>0</v>
      </c>
      <c r="Y38" s="285">
        <f>0</f>
        <v>0</v>
      </c>
      <c r="Z38" s="285">
        <f>0</f>
        <v>0</v>
      </c>
      <c r="AA38" s="285">
        <f>0</f>
        <v>0</v>
      </c>
      <c r="AB38" s="285">
        <f>0</f>
        <v>0</v>
      </c>
      <c r="AC38" s="285">
        <f>0</f>
        <v>0</v>
      </c>
      <c r="AD38" s="285">
        <f>0</f>
        <v>0</v>
      </c>
      <c r="AE38" s="285">
        <f>0</f>
        <v>0</v>
      </c>
      <c r="AF38" s="285">
        <f>0</f>
        <v>0</v>
      </c>
      <c r="AG38" s="285">
        <f>0</f>
        <v>0</v>
      </c>
    </row>
    <row r="39" spans="1:33" s="286" customFormat="1" ht="15">
      <c r="A39" s="99">
        <v>10</v>
      </c>
      <c r="B39" s="100" t="s">
        <v>17</v>
      </c>
      <c r="C39" s="285">
        <f>4610463</f>
        <v>4610463</v>
      </c>
      <c r="D39" s="285">
        <f>3211000</f>
        <v>3211000</v>
      </c>
      <c r="E39" s="285">
        <f>2120000</f>
        <v>2120000</v>
      </c>
      <c r="F39" s="285">
        <f>4102930</f>
        <v>4102930</v>
      </c>
      <c r="G39" s="285">
        <f>1000000</f>
        <v>1000000</v>
      </c>
      <c r="H39" s="285">
        <f>706476</f>
        <v>706476</v>
      </c>
      <c r="I39" s="285">
        <f>842279</f>
        <v>842279</v>
      </c>
      <c r="J39" s="285">
        <f>1610059</f>
        <v>1610059</v>
      </c>
      <c r="K39" s="285">
        <f>896271</f>
        <v>896271</v>
      </c>
      <c r="L39" s="285">
        <f>2107995</f>
        <v>2107995</v>
      </c>
      <c r="M39" s="285">
        <f>0</f>
        <v>0</v>
      </c>
      <c r="N39" s="285">
        <f>0</f>
        <v>0</v>
      </c>
      <c r="O39" s="285">
        <f>0</f>
        <v>0</v>
      </c>
      <c r="P39" s="285">
        <f>0</f>
        <v>0</v>
      </c>
      <c r="Q39" s="285">
        <f>0</f>
        <v>0</v>
      </c>
      <c r="R39" s="285">
        <f>0</f>
        <v>0</v>
      </c>
      <c r="S39" s="285">
        <f>0</f>
        <v>0</v>
      </c>
      <c r="T39" s="285">
        <f>0</f>
        <v>0</v>
      </c>
      <c r="U39" s="285">
        <f>0</f>
        <v>0</v>
      </c>
      <c r="V39" s="285">
        <f>0</f>
        <v>0</v>
      </c>
      <c r="W39" s="285">
        <f>0</f>
        <v>0</v>
      </c>
      <c r="X39" s="285">
        <f>0</f>
        <v>0</v>
      </c>
      <c r="Y39" s="285">
        <f>0</f>
        <v>0</v>
      </c>
      <c r="Z39" s="285">
        <f>0</f>
        <v>0</v>
      </c>
      <c r="AA39" s="285">
        <f>0</f>
        <v>0</v>
      </c>
      <c r="AB39" s="285">
        <f>0</f>
        <v>0</v>
      </c>
      <c r="AC39" s="285">
        <f>0</f>
        <v>0</v>
      </c>
      <c r="AD39" s="285">
        <f>0</f>
        <v>0</v>
      </c>
      <c r="AE39" s="285">
        <f>0</f>
        <v>0</v>
      </c>
      <c r="AF39" s="285">
        <f>0</f>
        <v>0</v>
      </c>
      <c r="AG39" s="285">
        <f>0</f>
        <v>0</v>
      </c>
    </row>
    <row r="40" spans="1:33" ht="14.25">
      <c r="A40" s="85" t="s">
        <v>119</v>
      </c>
      <c r="B40" s="86" t="s">
        <v>120</v>
      </c>
      <c r="C40" s="241">
        <f>3208757</f>
        <v>3208757</v>
      </c>
      <c r="D40" s="241">
        <f>3211000</f>
        <v>3211000</v>
      </c>
      <c r="E40" s="241">
        <f>2120000</f>
        <v>2120000</v>
      </c>
      <c r="F40" s="241">
        <f>4102930</f>
        <v>4102930</v>
      </c>
      <c r="G40" s="241">
        <f>1000000</f>
        <v>1000000</v>
      </c>
      <c r="H40" s="241">
        <f>0</f>
        <v>0</v>
      </c>
      <c r="I40" s="241">
        <f>0</f>
        <v>0</v>
      </c>
      <c r="J40" s="241">
        <f>0</f>
        <v>0</v>
      </c>
      <c r="K40" s="241">
        <f>0</f>
        <v>0</v>
      </c>
      <c r="L40" s="241">
        <f>0</f>
        <v>0</v>
      </c>
      <c r="M40" s="241">
        <f>0</f>
        <v>0</v>
      </c>
      <c r="N40" s="241">
        <f>0</f>
        <v>0</v>
      </c>
      <c r="O40" s="241">
        <f>0</f>
        <v>0</v>
      </c>
      <c r="P40" s="241">
        <f>0</f>
        <v>0</v>
      </c>
      <c r="Q40" s="241">
        <f>0</f>
        <v>0</v>
      </c>
      <c r="R40" s="241">
        <f>0</f>
        <v>0</v>
      </c>
      <c r="S40" s="241">
        <f>0</f>
        <v>0</v>
      </c>
      <c r="T40" s="241">
        <f>0</f>
        <v>0</v>
      </c>
      <c r="U40" s="241">
        <f>0</f>
        <v>0</v>
      </c>
      <c r="V40" s="241">
        <f>0</f>
        <v>0</v>
      </c>
      <c r="W40" s="241">
        <f>0</f>
        <v>0</v>
      </c>
      <c r="X40" s="241">
        <f>0</f>
        <v>0</v>
      </c>
      <c r="Y40" s="241">
        <f>0</f>
        <v>0</v>
      </c>
      <c r="Z40" s="241">
        <f>0</f>
        <v>0</v>
      </c>
      <c r="AA40" s="241">
        <f>0</f>
        <v>0</v>
      </c>
      <c r="AB40" s="241">
        <f>0</f>
        <v>0</v>
      </c>
      <c r="AC40" s="241">
        <f>0</f>
        <v>0</v>
      </c>
      <c r="AD40" s="241">
        <f>0</f>
        <v>0</v>
      </c>
      <c r="AE40" s="241">
        <f>0</f>
        <v>0</v>
      </c>
      <c r="AF40" s="241">
        <f>0</f>
        <v>0</v>
      </c>
      <c r="AG40" s="241">
        <f>0</f>
        <v>0</v>
      </c>
    </row>
    <row r="41" spans="1:33" ht="24">
      <c r="A41" s="85" t="s">
        <v>121</v>
      </c>
      <c r="B41" s="86" t="s">
        <v>271</v>
      </c>
      <c r="C41" s="241">
        <f>2838757</f>
        <v>2838757</v>
      </c>
      <c r="D41" s="241">
        <f>3017107</f>
        <v>3017107</v>
      </c>
      <c r="E41" s="241">
        <f>2120000</f>
        <v>2120000</v>
      </c>
      <c r="F41" s="241">
        <f>4102930</f>
        <v>4102930</v>
      </c>
      <c r="G41" s="241">
        <f>1000000</f>
        <v>1000000</v>
      </c>
      <c r="H41" s="241">
        <f>0</f>
        <v>0</v>
      </c>
      <c r="I41" s="241">
        <f>0</f>
        <v>0</v>
      </c>
      <c r="J41" s="241">
        <f>0</f>
        <v>0</v>
      </c>
      <c r="K41" s="241">
        <f>0</f>
        <v>0</v>
      </c>
      <c r="L41" s="241">
        <f>0</f>
        <v>0</v>
      </c>
      <c r="M41" s="241">
        <f>0</f>
        <v>0</v>
      </c>
      <c r="N41" s="241">
        <f>0</f>
        <v>0</v>
      </c>
      <c r="O41" s="241">
        <f>0</f>
        <v>0</v>
      </c>
      <c r="P41" s="241">
        <f>0</f>
        <v>0</v>
      </c>
      <c r="Q41" s="241">
        <f>0</f>
        <v>0</v>
      </c>
      <c r="R41" s="241">
        <f>0</f>
        <v>0</v>
      </c>
      <c r="S41" s="241">
        <f>0</f>
        <v>0</v>
      </c>
      <c r="T41" s="241">
        <f>0</f>
        <v>0</v>
      </c>
      <c r="U41" s="241">
        <f>0</f>
        <v>0</v>
      </c>
      <c r="V41" s="241">
        <f>0</f>
        <v>0</v>
      </c>
      <c r="W41" s="241">
        <f>0</f>
        <v>0</v>
      </c>
      <c r="X41" s="241">
        <f>0</f>
        <v>0</v>
      </c>
      <c r="Y41" s="241">
        <f>0</f>
        <v>0</v>
      </c>
      <c r="Z41" s="241">
        <f>0</f>
        <v>0</v>
      </c>
      <c r="AA41" s="241">
        <f>0</f>
        <v>0</v>
      </c>
      <c r="AB41" s="241">
        <f>0</f>
        <v>0</v>
      </c>
      <c r="AC41" s="241">
        <f>0</f>
        <v>0</v>
      </c>
      <c r="AD41" s="241">
        <f>0</f>
        <v>0</v>
      </c>
      <c r="AE41" s="241">
        <f>0</f>
        <v>0</v>
      </c>
      <c r="AF41" s="241">
        <f>0</f>
        <v>0</v>
      </c>
      <c r="AG41" s="241">
        <f>0</f>
        <v>0</v>
      </c>
    </row>
    <row r="42" spans="1:33" ht="14.25">
      <c r="A42" s="101" t="s">
        <v>257</v>
      </c>
      <c r="B42" s="103" t="s">
        <v>251</v>
      </c>
      <c r="C42" s="242">
        <f>1452017</f>
        <v>1452017</v>
      </c>
      <c r="D42" s="242">
        <f>668828</f>
        <v>668828</v>
      </c>
      <c r="E42" s="242">
        <f>490000</f>
        <v>490000</v>
      </c>
      <c r="F42" s="242">
        <f>1934394</f>
        <v>1934394</v>
      </c>
      <c r="G42" s="242">
        <f>510000</f>
        <v>510000</v>
      </c>
      <c r="H42" s="242">
        <f>0</f>
        <v>0</v>
      </c>
      <c r="I42" s="242">
        <f>0</f>
        <v>0</v>
      </c>
      <c r="J42" s="242">
        <f>0</f>
        <v>0</v>
      </c>
      <c r="K42" s="242">
        <f>0</f>
        <v>0</v>
      </c>
      <c r="L42" s="242">
        <f>0</f>
        <v>0</v>
      </c>
      <c r="M42" s="242">
        <f>0</f>
        <v>0</v>
      </c>
      <c r="N42" s="242">
        <f>0</f>
        <v>0</v>
      </c>
      <c r="O42" s="242">
        <f>0</f>
        <v>0</v>
      </c>
      <c r="P42" s="242">
        <f>0</f>
        <v>0</v>
      </c>
      <c r="Q42" s="242">
        <f>0</f>
        <v>0</v>
      </c>
      <c r="R42" s="242">
        <f>0</f>
        <v>0</v>
      </c>
      <c r="S42" s="242">
        <f>0</f>
        <v>0</v>
      </c>
      <c r="T42" s="242">
        <f>0</f>
        <v>0</v>
      </c>
      <c r="U42" s="242">
        <f>0</f>
        <v>0</v>
      </c>
      <c r="V42" s="242">
        <f>0</f>
        <v>0</v>
      </c>
      <c r="W42" s="242">
        <f>0</f>
        <v>0</v>
      </c>
      <c r="X42" s="242">
        <f>0</f>
        <v>0</v>
      </c>
      <c r="Y42" s="242">
        <f>0</f>
        <v>0</v>
      </c>
      <c r="Z42" s="242">
        <f>0</f>
        <v>0</v>
      </c>
      <c r="AA42" s="242">
        <f>0</f>
        <v>0</v>
      </c>
      <c r="AB42" s="242">
        <f>0</f>
        <v>0</v>
      </c>
      <c r="AC42" s="242">
        <f>0</f>
        <v>0</v>
      </c>
      <c r="AD42" s="242">
        <f>0</f>
        <v>0</v>
      </c>
      <c r="AE42" s="242">
        <f>0</f>
        <v>0</v>
      </c>
      <c r="AF42" s="242">
        <f>0</f>
        <v>0</v>
      </c>
      <c r="AG42" s="242">
        <f>0</f>
        <v>0</v>
      </c>
    </row>
    <row r="43" spans="1:33" s="286" customFormat="1" ht="15">
      <c r="A43" s="99">
        <v>11</v>
      </c>
      <c r="B43" s="100" t="s">
        <v>62</v>
      </c>
      <c r="C43" s="285">
        <f>3040000</f>
        <v>3040000</v>
      </c>
      <c r="D43" s="285">
        <f>406374</f>
        <v>406374</v>
      </c>
      <c r="E43" s="285">
        <f>985634</f>
        <v>985634</v>
      </c>
      <c r="F43" s="285">
        <f>1061703</f>
        <v>1061703</v>
      </c>
      <c r="G43" s="285">
        <f>0</f>
        <v>0</v>
      </c>
      <c r="H43" s="285">
        <f>0</f>
        <v>0</v>
      </c>
      <c r="I43" s="285">
        <f>0</f>
        <v>0</v>
      </c>
      <c r="J43" s="285">
        <f>0</f>
        <v>0</v>
      </c>
      <c r="K43" s="285">
        <f>0</f>
        <v>0</v>
      </c>
      <c r="L43" s="285">
        <f>0</f>
        <v>0</v>
      </c>
      <c r="M43" s="285">
        <f>0</f>
        <v>0</v>
      </c>
      <c r="N43" s="285">
        <f>0</f>
        <v>0</v>
      </c>
      <c r="O43" s="285">
        <f>0</f>
        <v>0</v>
      </c>
      <c r="P43" s="285">
        <f>0</f>
        <v>0</v>
      </c>
      <c r="Q43" s="285">
        <f>0</f>
        <v>0</v>
      </c>
      <c r="R43" s="285">
        <f>0</f>
        <v>0</v>
      </c>
      <c r="S43" s="285">
        <f>0</f>
        <v>0</v>
      </c>
      <c r="T43" s="285">
        <f>0</f>
        <v>0</v>
      </c>
      <c r="U43" s="285">
        <f>0</f>
        <v>0</v>
      </c>
      <c r="V43" s="285">
        <f>0</f>
        <v>0</v>
      </c>
      <c r="W43" s="285">
        <f>0</f>
        <v>0</v>
      </c>
      <c r="X43" s="285">
        <f>0</f>
        <v>0</v>
      </c>
      <c r="Y43" s="285">
        <f>0</f>
        <v>0</v>
      </c>
      <c r="Z43" s="285">
        <f>0</f>
        <v>0</v>
      </c>
      <c r="AA43" s="285">
        <f>0</f>
        <v>0</v>
      </c>
      <c r="AB43" s="285">
        <f>0</f>
        <v>0</v>
      </c>
      <c r="AC43" s="285">
        <f>0</f>
        <v>0</v>
      </c>
      <c r="AD43" s="285">
        <f>0</f>
        <v>0</v>
      </c>
      <c r="AE43" s="285">
        <f>0</f>
        <v>0</v>
      </c>
      <c r="AF43" s="285">
        <f>0</f>
        <v>0</v>
      </c>
      <c r="AG43" s="285">
        <f>0</f>
        <v>0</v>
      </c>
    </row>
    <row r="44" spans="1:33" ht="14.25">
      <c r="A44" s="101" t="s">
        <v>122</v>
      </c>
      <c r="B44" s="103" t="s">
        <v>108</v>
      </c>
      <c r="C44" s="242">
        <f>0</f>
        <v>0</v>
      </c>
      <c r="D44" s="242">
        <f>0</f>
        <v>0</v>
      </c>
      <c r="E44" s="242">
        <f>0</f>
        <v>0</v>
      </c>
      <c r="F44" s="242">
        <f>0</f>
        <v>0</v>
      </c>
      <c r="G44" s="242">
        <f>0</f>
        <v>0</v>
      </c>
      <c r="H44" s="242">
        <f>0</f>
        <v>0</v>
      </c>
      <c r="I44" s="242">
        <f>0</f>
        <v>0</v>
      </c>
      <c r="J44" s="242">
        <f>0</f>
        <v>0</v>
      </c>
      <c r="K44" s="242">
        <f>0</f>
        <v>0</v>
      </c>
      <c r="L44" s="242">
        <f>0</f>
        <v>0</v>
      </c>
      <c r="M44" s="242">
        <f>0</f>
        <v>0</v>
      </c>
      <c r="N44" s="242">
        <f>0</f>
        <v>0</v>
      </c>
      <c r="O44" s="242">
        <f>0</f>
        <v>0</v>
      </c>
      <c r="P44" s="242">
        <f>0</f>
        <v>0</v>
      </c>
      <c r="Q44" s="242">
        <f>0</f>
        <v>0</v>
      </c>
      <c r="R44" s="242">
        <f>0</f>
        <v>0</v>
      </c>
      <c r="S44" s="242">
        <f>0</f>
        <v>0</v>
      </c>
      <c r="T44" s="242">
        <f>0</f>
        <v>0</v>
      </c>
      <c r="U44" s="242">
        <f>0</f>
        <v>0</v>
      </c>
      <c r="V44" s="242">
        <f>0</f>
        <v>0</v>
      </c>
      <c r="W44" s="242">
        <f>0</f>
        <v>0</v>
      </c>
      <c r="X44" s="242">
        <f>0</f>
        <v>0</v>
      </c>
      <c r="Y44" s="242">
        <f>0</f>
        <v>0</v>
      </c>
      <c r="Z44" s="242">
        <f>0</f>
        <v>0</v>
      </c>
      <c r="AA44" s="242">
        <f>0</f>
        <v>0</v>
      </c>
      <c r="AB44" s="242">
        <f>0</f>
        <v>0</v>
      </c>
      <c r="AC44" s="242">
        <f>0</f>
        <v>0</v>
      </c>
      <c r="AD44" s="242">
        <f>0</f>
        <v>0</v>
      </c>
      <c r="AE44" s="242">
        <f>0</f>
        <v>0</v>
      </c>
      <c r="AF44" s="242">
        <f>0</f>
        <v>0</v>
      </c>
      <c r="AG44" s="242">
        <f>0</f>
        <v>0</v>
      </c>
    </row>
    <row r="45" spans="1:33" s="286" customFormat="1" ht="15">
      <c r="A45" s="82">
        <v>12</v>
      </c>
      <c r="B45" s="34" t="s">
        <v>123</v>
      </c>
      <c r="C45" s="285">
        <f>0</f>
        <v>0</v>
      </c>
      <c r="D45" s="285">
        <f>0</f>
        <v>0</v>
      </c>
      <c r="E45" s="285">
        <f>0</f>
        <v>0</v>
      </c>
      <c r="F45" s="285">
        <f>0</f>
        <v>0</v>
      </c>
      <c r="G45" s="285">
        <f>0</f>
        <v>0</v>
      </c>
      <c r="H45" s="285">
        <f>0</f>
        <v>0</v>
      </c>
      <c r="I45" s="285">
        <f>0</f>
        <v>0</v>
      </c>
      <c r="J45" s="285">
        <f>0</f>
        <v>0</v>
      </c>
      <c r="K45" s="285">
        <f>0</f>
        <v>0</v>
      </c>
      <c r="L45" s="285">
        <f>0</f>
        <v>0</v>
      </c>
      <c r="M45" s="285">
        <f>0</f>
        <v>0</v>
      </c>
      <c r="N45" s="285">
        <f>0</f>
        <v>0</v>
      </c>
      <c r="O45" s="285">
        <f>0</f>
        <v>0</v>
      </c>
      <c r="P45" s="285">
        <f>0</f>
        <v>0</v>
      </c>
      <c r="Q45" s="285">
        <f>0</f>
        <v>0</v>
      </c>
      <c r="R45" s="285">
        <f>0</f>
        <v>0</v>
      </c>
      <c r="S45" s="285">
        <f>0</f>
        <v>0</v>
      </c>
      <c r="T45" s="285">
        <f>0</f>
        <v>0</v>
      </c>
      <c r="U45" s="285">
        <f>0</f>
        <v>0</v>
      </c>
      <c r="V45" s="285">
        <f>0</f>
        <v>0</v>
      </c>
      <c r="W45" s="285">
        <f>0</f>
        <v>0</v>
      </c>
      <c r="X45" s="285">
        <f>0</f>
        <v>0</v>
      </c>
      <c r="Y45" s="285">
        <f>0</f>
        <v>0</v>
      </c>
      <c r="Z45" s="285">
        <f>0</f>
        <v>0</v>
      </c>
      <c r="AA45" s="285">
        <f>0</f>
        <v>0</v>
      </c>
      <c r="AB45" s="285">
        <f>0</f>
        <v>0</v>
      </c>
      <c r="AC45" s="285">
        <f>0</f>
        <v>0</v>
      </c>
      <c r="AD45" s="285">
        <f>0</f>
        <v>0</v>
      </c>
      <c r="AE45" s="285">
        <f>0</f>
        <v>0</v>
      </c>
      <c r="AF45" s="285">
        <f>0</f>
        <v>0</v>
      </c>
      <c r="AG45" s="285">
        <f>0</f>
        <v>0</v>
      </c>
    </row>
    <row r="46" spans="1:33" s="286" customFormat="1" ht="15">
      <c r="A46" s="99">
        <v>13</v>
      </c>
      <c r="B46" s="100" t="s">
        <v>277</v>
      </c>
      <c r="C46" s="285">
        <f>12078400</f>
        <v>12078400</v>
      </c>
      <c r="D46" s="285">
        <f>11703774</f>
        <v>11703774</v>
      </c>
      <c r="E46" s="285">
        <f>11292508</f>
        <v>11292508</v>
      </c>
      <c r="F46" s="285">
        <f>10854211</f>
        <v>10854211</v>
      </c>
      <c r="G46" s="285">
        <f>9160211</f>
        <v>9160211</v>
      </c>
      <c r="H46" s="285">
        <f>7210211</f>
        <v>7210211</v>
      </c>
      <c r="I46" s="285">
        <f>4760211</f>
        <v>4760211</v>
      </c>
      <c r="J46" s="285">
        <f>4260211</f>
        <v>4260211</v>
      </c>
      <c r="K46" s="285">
        <f>1693635</f>
        <v>1693635</v>
      </c>
      <c r="L46" s="285">
        <f>0</f>
        <v>0</v>
      </c>
      <c r="M46" s="285">
        <f>0</f>
        <v>0</v>
      </c>
      <c r="N46" s="285">
        <f>0</f>
        <v>0</v>
      </c>
      <c r="O46" s="285">
        <f>0</f>
        <v>0</v>
      </c>
      <c r="P46" s="285">
        <f>0</f>
        <v>0</v>
      </c>
      <c r="Q46" s="285">
        <f>0</f>
        <v>0</v>
      </c>
      <c r="R46" s="285">
        <f>0</f>
        <v>0</v>
      </c>
      <c r="S46" s="285">
        <f>0</f>
        <v>0</v>
      </c>
      <c r="T46" s="285">
        <f>0</f>
        <v>0</v>
      </c>
      <c r="U46" s="285">
        <f>0</f>
        <v>0</v>
      </c>
      <c r="V46" s="285">
        <f>0</f>
        <v>0</v>
      </c>
      <c r="W46" s="285">
        <f>0</f>
        <v>0</v>
      </c>
      <c r="X46" s="285">
        <f>0</f>
        <v>0</v>
      </c>
      <c r="Y46" s="285">
        <f>0</f>
        <v>0</v>
      </c>
      <c r="Z46" s="285">
        <f>0</f>
        <v>0</v>
      </c>
      <c r="AA46" s="285">
        <f>0</f>
        <v>0</v>
      </c>
      <c r="AB46" s="285">
        <f>0</f>
        <v>0</v>
      </c>
      <c r="AC46" s="285">
        <f>0</f>
        <v>0</v>
      </c>
      <c r="AD46" s="285">
        <f>0</f>
        <v>0</v>
      </c>
      <c r="AE46" s="285">
        <f>0</f>
        <v>0</v>
      </c>
      <c r="AF46" s="285">
        <f>0</f>
        <v>0</v>
      </c>
      <c r="AG46" s="285">
        <f>0</f>
        <v>0</v>
      </c>
    </row>
    <row r="47" spans="1:33" ht="24">
      <c r="A47" s="101" t="s">
        <v>124</v>
      </c>
      <c r="B47" s="103" t="s">
        <v>278</v>
      </c>
      <c r="C47" s="242">
        <f>0</f>
        <v>0</v>
      </c>
      <c r="D47" s="242">
        <f>0</f>
        <v>0</v>
      </c>
      <c r="E47" s="242">
        <f>0</f>
        <v>0</v>
      </c>
      <c r="F47" s="242">
        <f>0</f>
        <v>0</v>
      </c>
      <c r="G47" s="242">
        <f>0</f>
        <v>0</v>
      </c>
      <c r="H47" s="242">
        <f>0</f>
        <v>0</v>
      </c>
      <c r="I47" s="242">
        <f>0</f>
        <v>0</v>
      </c>
      <c r="J47" s="242">
        <f>0</f>
        <v>0</v>
      </c>
      <c r="K47" s="242">
        <f>0</f>
        <v>0</v>
      </c>
      <c r="L47" s="242">
        <f>0</f>
        <v>0</v>
      </c>
      <c r="M47" s="242">
        <f>0</f>
        <v>0</v>
      </c>
      <c r="N47" s="242">
        <f>0</f>
        <v>0</v>
      </c>
      <c r="O47" s="242">
        <f>0</f>
        <v>0</v>
      </c>
      <c r="P47" s="242">
        <f>0</f>
        <v>0</v>
      </c>
      <c r="Q47" s="242">
        <f>0</f>
        <v>0</v>
      </c>
      <c r="R47" s="242">
        <f>0</f>
        <v>0</v>
      </c>
      <c r="S47" s="242">
        <f>0</f>
        <v>0</v>
      </c>
      <c r="T47" s="242">
        <f>0</f>
        <v>0</v>
      </c>
      <c r="U47" s="242">
        <f>0</f>
        <v>0</v>
      </c>
      <c r="V47" s="242">
        <f>0</f>
        <v>0</v>
      </c>
      <c r="W47" s="242">
        <f>0</f>
        <v>0</v>
      </c>
      <c r="X47" s="242">
        <f>0</f>
        <v>0</v>
      </c>
      <c r="Y47" s="242">
        <f>0</f>
        <v>0</v>
      </c>
      <c r="Z47" s="242">
        <f>0</f>
        <v>0</v>
      </c>
      <c r="AA47" s="242">
        <f>0</f>
        <v>0</v>
      </c>
      <c r="AB47" s="242">
        <f>0</f>
        <v>0</v>
      </c>
      <c r="AC47" s="242">
        <f>0</f>
        <v>0</v>
      </c>
      <c r="AD47" s="242">
        <f>0</f>
        <v>0</v>
      </c>
      <c r="AE47" s="242">
        <f>0</f>
        <v>0</v>
      </c>
      <c r="AF47" s="242">
        <f>0</f>
        <v>0</v>
      </c>
      <c r="AG47" s="242">
        <f>0</f>
        <v>0</v>
      </c>
    </row>
    <row r="48" spans="1:33" s="286" customFormat="1" ht="15">
      <c r="A48" s="82">
        <v>14</v>
      </c>
      <c r="B48" s="34" t="s">
        <v>68</v>
      </c>
      <c r="C48" s="285">
        <f>0</f>
        <v>0</v>
      </c>
      <c r="D48" s="285">
        <f>0</f>
        <v>0</v>
      </c>
      <c r="E48" s="285">
        <f>0</f>
        <v>0</v>
      </c>
      <c r="F48" s="285">
        <f>0</f>
        <v>0</v>
      </c>
      <c r="G48" s="285">
        <f>0</f>
        <v>0</v>
      </c>
      <c r="H48" s="285">
        <f>0</f>
        <v>0</v>
      </c>
      <c r="I48" s="285">
        <f>0</f>
        <v>0</v>
      </c>
      <c r="J48" s="285">
        <f>0</f>
        <v>0</v>
      </c>
      <c r="K48" s="285">
        <f>0</f>
        <v>0</v>
      </c>
      <c r="L48" s="285">
        <f>0</f>
        <v>0</v>
      </c>
      <c r="M48" s="285">
        <f>0</f>
        <v>0</v>
      </c>
      <c r="N48" s="285">
        <f>0</f>
        <v>0</v>
      </c>
      <c r="O48" s="285">
        <f>0</f>
        <v>0</v>
      </c>
      <c r="P48" s="285">
        <f>0</f>
        <v>0</v>
      </c>
      <c r="Q48" s="285">
        <f>0</f>
        <v>0</v>
      </c>
      <c r="R48" s="285">
        <f>0</f>
        <v>0</v>
      </c>
      <c r="S48" s="285">
        <f>0</f>
        <v>0</v>
      </c>
      <c r="T48" s="285">
        <f>0</f>
        <v>0</v>
      </c>
      <c r="U48" s="285">
        <f>0</f>
        <v>0</v>
      </c>
      <c r="V48" s="285">
        <f>0</f>
        <v>0</v>
      </c>
      <c r="W48" s="285">
        <f>0</f>
        <v>0</v>
      </c>
      <c r="X48" s="285">
        <f>0</f>
        <v>0</v>
      </c>
      <c r="Y48" s="285">
        <f>0</f>
        <v>0</v>
      </c>
      <c r="Z48" s="285">
        <f>0</f>
        <v>0</v>
      </c>
      <c r="AA48" s="285">
        <f>0</f>
        <v>0</v>
      </c>
      <c r="AB48" s="285">
        <f>0</f>
        <v>0</v>
      </c>
      <c r="AC48" s="285">
        <f>0</f>
        <v>0</v>
      </c>
      <c r="AD48" s="285">
        <f>0</f>
        <v>0</v>
      </c>
      <c r="AE48" s="285">
        <f>0</f>
        <v>0</v>
      </c>
      <c r="AF48" s="285">
        <f>0</f>
        <v>0</v>
      </c>
      <c r="AG48" s="285">
        <f>0</f>
        <v>0</v>
      </c>
    </row>
    <row r="49" spans="1:33" s="286" customFormat="1" ht="36">
      <c r="A49" s="84">
        <v>15</v>
      </c>
      <c r="B49" s="34" t="s">
        <v>125</v>
      </c>
      <c r="C49" s="285">
        <f>0</f>
        <v>0</v>
      </c>
      <c r="D49" s="285">
        <f>0</f>
        <v>0</v>
      </c>
      <c r="E49" s="285">
        <f>0</f>
        <v>0</v>
      </c>
      <c r="F49" s="285">
        <f>0</f>
        <v>0</v>
      </c>
      <c r="G49" s="285">
        <f>0</f>
        <v>0</v>
      </c>
      <c r="H49" s="285">
        <f>0</f>
        <v>0</v>
      </c>
      <c r="I49" s="285">
        <f>0</f>
        <v>0</v>
      </c>
      <c r="J49" s="285">
        <f>0</f>
        <v>0</v>
      </c>
      <c r="K49" s="285">
        <f>0</f>
        <v>0</v>
      </c>
      <c r="L49" s="285">
        <f>0</f>
        <v>0</v>
      </c>
      <c r="M49" s="285">
        <f>0</f>
        <v>0</v>
      </c>
      <c r="N49" s="285">
        <f>0</f>
        <v>0</v>
      </c>
      <c r="O49" s="285">
        <f>0</f>
        <v>0</v>
      </c>
      <c r="P49" s="285">
        <f>0</f>
        <v>0</v>
      </c>
      <c r="Q49" s="285">
        <f>0</f>
        <v>0</v>
      </c>
      <c r="R49" s="285">
        <f>0</f>
        <v>0</v>
      </c>
      <c r="S49" s="285">
        <f>0</f>
        <v>0</v>
      </c>
      <c r="T49" s="285">
        <f>0</f>
        <v>0</v>
      </c>
      <c r="U49" s="285">
        <f>0</f>
        <v>0</v>
      </c>
      <c r="V49" s="285">
        <f>0</f>
        <v>0</v>
      </c>
      <c r="W49" s="285">
        <f>0</f>
        <v>0</v>
      </c>
      <c r="X49" s="285">
        <f>0</f>
        <v>0</v>
      </c>
      <c r="Y49" s="285">
        <f>0</f>
        <v>0</v>
      </c>
      <c r="Z49" s="285">
        <f>0</f>
        <v>0</v>
      </c>
      <c r="AA49" s="285">
        <f>0</f>
        <v>0</v>
      </c>
      <c r="AB49" s="285">
        <f>0</f>
        <v>0</v>
      </c>
      <c r="AC49" s="285">
        <f>0</f>
        <v>0</v>
      </c>
      <c r="AD49" s="285">
        <f>0</f>
        <v>0</v>
      </c>
      <c r="AE49" s="285">
        <f>0</f>
        <v>0</v>
      </c>
      <c r="AF49" s="285">
        <f>0</f>
        <v>0</v>
      </c>
      <c r="AG49" s="285">
        <f>0</f>
        <v>0</v>
      </c>
    </row>
    <row r="50" spans="1:33" s="286" customFormat="1" ht="24">
      <c r="A50" s="84">
        <v>16</v>
      </c>
      <c r="B50" s="34" t="s">
        <v>126</v>
      </c>
      <c r="C50" s="285">
        <f>630600</f>
        <v>630600</v>
      </c>
      <c r="D50" s="285">
        <f>374626</f>
        <v>374626</v>
      </c>
      <c r="E50" s="285">
        <f>411266</f>
        <v>411266</v>
      </c>
      <c r="F50" s="285">
        <f>438297</f>
        <v>438297</v>
      </c>
      <c r="G50" s="285">
        <f>1694000</f>
        <v>1694000</v>
      </c>
      <c r="H50" s="285">
        <f>1950000</f>
        <v>1950000</v>
      </c>
      <c r="I50" s="285">
        <f>2450000</f>
        <v>2450000</v>
      </c>
      <c r="J50" s="285">
        <f>500000</f>
        <v>500000</v>
      </c>
      <c r="K50" s="285">
        <f>2566576</f>
        <v>2566576</v>
      </c>
      <c r="L50" s="285">
        <f>1693635</f>
        <v>1693635</v>
      </c>
      <c r="M50" s="285">
        <f>0</f>
        <v>0</v>
      </c>
      <c r="N50" s="285">
        <f>0</f>
        <v>0</v>
      </c>
      <c r="O50" s="285">
        <f>0</f>
        <v>0</v>
      </c>
      <c r="P50" s="285">
        <f>0</f>
        <v>0</v>
      </c>
      <c r="Q50" s="285">
        <f>0</f>
        <v>0</v>
      </c>
      <c r="R50" s="285">
        <f>0</f>
        <v>0</v>
      </c>
      <c r="S50" s="285">
        <f>0</f>
        <v>0</v>
      </c>
      <c r="T50" s="285">
        <f>0</f>
        <v>0</v>
      </c>
      <c r="U50" s="285">
        <f>0</f>
        <v>0</v>
      </c>
      <c r="V50" s="285">
        <f>0</f>
        <v>0</v>
      </c>
      <c r="W50" s="285">
        <f>0</f>
        <v>0</v>
      </c>
      <c r="X50" s="285">
        <f>0</f>
        <v>0</v>
      </c>
      <c r="Y50" s="285">
        <f>0</f>
        <v>0</v>
      </c>
      <c r="Z50" s="285">
        <f>0</f>
        <v>0</v>
      </c>
      <c r="AA50" s="285">
        <f>0</f>
        <v>0</v>
      </c>
      <c r="AB50" s="285">
        <f>0</f>
        <v>0</v>
      </c>
      <c r="AC50" s="285">
        <f>0</f>
        <v>0</v>
      </c>
      <c r="AD50" s="285">
        <f>0</f>
        <v>0</v>
      </c>
      <c r="AE50" s="285">
        <f>0</f>
        <v>0</v>
      </c>
      <c r="AF50" s="285">
        <f>0</f>
        <v>0</v>
      </c>
      <c r="AG50" s="285">
        <f>0</f>
        <v>0</v>
      </c>
    </row>
    <row r="51" spans="1:33" s="286" customFormat="1" ht="15">
      <c r="A51" s="104">
        <v>17</v>
      </c>
      <c r="B51" s="105" t="s">
        <v>279</v>
      </c>
      <c r="C51" s="285">
        <f>0</f>
        <v>0</v>
      </c>
      <c r="D51" s="285">
        <f>0</f>
        <v>0</v>
      </c>
      <c r="E51" s="285">
        <f>0</f>
        <v>0</v>
      </c>
      <c r="F51" s="285">
        <f>0</f>
        <v>0</v>
      </c>
      <c r="G51" s="285">
        <f>0</f>
        <v>0</v>
      </c>
      <c r="H51" s="285">
        <f>0</f>
        <v>0</v>
      </c>
      <c r="I51" s="285">
        <f>0</f>
        <v>0</v>
      </c>
      <c r="J51" s="285">
        <f>0</f>
        <v>0</v>
      </c>
      <c r="K51" s="285">
        <f>0</f>
        <v>0</v>
      </c>
      <c r="L51" s="285">
        <f>0</f>
        <v>0</v>
      </c>
      <c r="M51" s="285">
        <f>0</f>
        <v>0</v>
      </c>
      <c r="N51" s="285">
        <f>0</f>
        <v>0</v>
      </c>
      <c r="O51" s="285">
        <f>0</f>
        <v>0</v>
      </c>
      <c r="P51" s="285">
        <f>0</f>
        <v>0</v>
      </c>
      <c r="Q51" s="285">
        <f>0</f>
        <v>0</v>
      </c>
      <c r="R51" s="285">
        <f>0</f>
        <v>0</v>
      </c>
      <c r="S51" s="285">
        <f>0</f>
        <v>0</v>
      </c>
      <c r="T51" s="285">
        <f>0</f>
        <v>0</v>
      </c>
      <c r="U51" s="285">
        <f>0</f>
        <v>0</v>
      </c>
      <c r="V51" s="285">
        <f>0</f>
        <v>0</v>
      </c>
      <c r="W51" s="285">
        <f>0</f>
        <v>0</v>
      </c>
      <c r="X51" s="285">
        <f>0</f>
        <v>0</v>
      </c>
      <c r="Y51" s="285">
        <f>0</f>
        <v>0</v>
      </c>
      <c r="Z51" s="285">
        <f>0</f>
        <v>0</v>
      </c>
      <c r="AA51" s="285">
        <f>0</f>
        <v>0</v>
      </c>
      <c r="AB51" s="285">
        <f>0</f>
        <v>0</v>
      </c>
      <c r="AC51" s="285">
        <f>0</f>
        <v>0</v>
      </c>
      <c r="AD51" s="285">
        <f>0</f>
        <v>0</v>
      </c>
      <c r="AE51" s="285">
        <f>0</f>
        <v>0</v>
      </c>
      <c r="AF51" s="285">
        <f>0</f>
        <v>0</v>
      </c>
      <c r="AG51" s="285">
        <f>0</f>
        <v>0</v>
      </c>
    </row>
    <row r="52" spans="1:33" ht="14.25">
      <c r="A52" s="106" t="s">
        <v>127</v>
      </c>
      <c r="B52" s="107" t="s">
        <v>280</v>
      </c>
      <c r="C52" s="242">
        <f>0</f>
        <v>0</v>
      </c>
      <c r="D52" s="242">
        <f>0</f>
        <v>0</v>
      </c>
      <c r="E52" s="242">
        <f>0</f>
        <v>0</v>
      </c>
      <c r="F52" s="242">
        <f>0</f>
        <v>0</v>
      </c>
      <c r="G52" s="242">
        <f>0</f>
        <v>0</v>
      </c>
      <c r="H52" s="242">
        <f>0</f>
        <v>0</v>
      </c>
      <c r="I52" s="242">
        <f>0</f>
        <v>0</v>
      </c>
      <c r="J52" s="242">
        <f>0</f>
        <v>0</v>
      </c>
      <c r="K52" s="242">
        <f>0</f>
        <v>0</v>
      </c>
      <c r="L52" s="242">
        <f>0</f>
        <v>0</v>
      </c>
      <c r="M52" s="242">
        <f>0</f>
        <v>0</v>
      </c>
      <c r="N52" s="242">
        <f>0</f>
        <v>0</v>
      </c>
      <c r="O52" s="242">
        <f>0</f>
        <v>0</v>
      </c>
      <c r="P52" s="242">
        <f>0</f>
        <v>0</v>
      </c>
      <c r="Q52" s="242">
        <f>0</f>
        <v>0</v>
      </c>
      <c r="R52" s="242">
        <f>0</f>
        <v>0</v>
      </c>
      <c r="S52" s="242">
        <f>0</f>
        <v>0</v>
      </c>
      <c r="T52" s="242">
        <f>0</f>
        <v>0</v>
      </c>
      <c r="U52" s="242">
        <f>0</f>
        <v>0</v>
      </c>
      <c r="V52" s="242">
        <f>0</f>
        <v>0</v>
      </c>
      <c r="W52" s="242">
        <f>0</f>
        <v>0</v>
      </c>
      <c r="X52" s="242">
        <f>0</f>
        <v>0</v>
      </c>
      <c r="Y52" s="242">
        <f>0</f>
        <v>0</v>
      </c>
      <c r="Z52" s="242">
        <f>0</f>
        <v>0</v>
      </c>
      <c r="AA52" s="242">
        <f>0</f>
        <v>0</v>
      </c>
      <c r="AB52" s="242">
        <f>0</f>
        <v>0</v>
      </c>
      <c r="AC52" s="242">
        <f>0</f>
        <v>0</v>
      </c>
      <c r="AD52" s="242">
        <f>0</f>
        <v>0</v>
      </c>
      <c r="AE52" s="242">
        <f>0</f>
        <v>0</v>
      </c>
      <c r="AF52" s="242">
        <f>0</f>
        <v>0</v>
      </c>
      <c r="AG52" s="242">
        <f>0</f>
        <v>0</v>
      </c>
    </row>
    <row r="53" spans="1:33" ht="24" hidden="1">
      <c r="A53" s="231"/>
      <c r="B53" s="232" t="s">
        <v>281</v>
      </c>
      <c r="C53" s="282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4"/>
    </row>
    <row r="54" spans="1:33" ht="24" hidden="1">
      <c r="A54" s="92"/>
      <c r="B54" s="90" t="s">
        <v>282</v>
      </c>
      <c r="C54" s="245">
        <f>0</f>
        <v>0</v>
      </c>
      <c r="D54" s="245">
        <f>0</f>
        <v>0</v>
      </c>
      <c r="E54" s="245">
        <f>0</f>
        <v>0</v>
      </c>
      <c r="F54" s="245">
        <f>0</f>
        <v>0</v>
      </c>
      <c r="G54" s="245">
        <f>0</f>
        <v>0</v>
      </c>
      <c r="H54" s="245">
        <f>0</f>
        <v>0</v>
      </c>
      <c r="I54" s="245">
        <f>0</f>
        <v>0</v>
      </c>
      <c r="J54" s="245">
        <f>0</f>
        <v>0</v>
      </c>
      <c r="K54" s="245">
        <f>0</f>
        <v>0</v>
      </c>
      <c r="L54" s="245">
        <f>0</f>
        <v>0</v>
      </c>
      <c r="M54" s="245">
        <f>0</f>
        <v>0</v>
      </c>
      <c r="N54" s="245">
        <f>0</f>
        <v>0</v>
      </c>
      <c r="O54" s="245">
        <f>0</f>
        <v>0</v>
      </c>
      <c r="P54" s="245">
        <f>0</f>
        <v>0</v>
      </c>
      <c r="Q54" s="245">
        <f>0</f>
        <v>0</v>
      </c>
      <c r="R54" s="245">
        <f>0</f>
        <v>0</v>
      </c>
      <c r="S54" s="245">
        <f>0</f>
        <v>0</v>
      </c>
      <c r="T54" s="245">
        <f>0</f>
        <v>0</v>
      </c>
      <c r="U54" s="245">
        <f>0</f>
        <v>0</v>
      </c>
      <c r="V54" s="245">
        <f>0</f>
        <v>0</v>
      </c>
      <c r="W54" s="245">
        <f>0</f>
        <v>0</v>
      </c>
      <c r="X54" s="245">
        <f>0</f>
        <v>0</v>
      </c>
      <c r="Y54" s="245">
        <f>0</f>
        <v>0</v>
      </c>
      <c r="Z54" s="245">
        <f>0</f>
        <v>0</v>
      </c>
      <c r="AA54" s="245">
        <f>0</f>
        <v>0</v>
      </c>
      <c r="AB54" s="245">
        <f>0</f>
        <v>0</v>
      </c>
      <c r="AC54" s="245">
        <f>0</f>
        <v>0</v>
      </c>
      <c r="AD54" s="245">
        <f>0</f>
        <v>0</v>
      </c>
      <c r="AE54" s="245">
        <f>0</f>
        <v>0</v>
      </c>
      <c r="AF54" s="245">
        <f>0</f>
        <v>0</v>
      </c>
      <c r="AG54" s="245">
        <f>0</f>
        <v>0</v>
      </c>
    </row>
    <row r="55" spans="1:33" ht="24" hidden="1">
      <c r="A55" s="92"/>
      <c r="B55" s="90" t="s">
        <v>283</v>
      </c>
      <c r="C55" s="241">
        <f>0</f>
        <v>0</v>
      </c>
      <c r="D55" s="241">
        <f>0</f>
        <v>0</v>
      </c>
      <c r="E55" s="241">
        <f>0</f>
        <v>0</v>
      </c>
      <c r="F55" s="241">
        <f>0</f>
        <v>0</v>
      </c>
      <c r="G55" s="241">
        <f>0</f>
        <v>0</v>
      </c>
      <c r="H55" s="241">
        <f>0</f>
        <v>0</v>
      </c>
      <c r="I55" s="241">
        <f>0</f>
        <v>0</v>
      </c>
      <c r="J55" s="241">
        <f>0</f>
        <v>0</v>
      </c>
      <c r="K55" s="241">
        <f>0</f>
        <v>0</v>
      </c>
      <c r="L55" s="241">
        <f>0</f>
        <v>0</v>
      </c>
      <c r="M55" s="241">
        <f>0</f>
        <v>0</v>
      </c>
      <c r="N55" s="241">
        <f>0</f>
        <v>0</v>
      </c>
      <c r="O55" s="241">
        <f>0</f>
        <v>0</v>
      </c>
      <c r="P55" s="241">
        <f>0</f>
        <v>0</v>
      </c>
      <c r="Q55" s="241">
        <f>0</f>
        <v>0</v>
      </c>
      <c r="R55" s="241">
        <f>0</f>
        <v>0</v>
      </c>
      <c r="S55" s="241">
        <f>0</f>
        <v>0</v>
      </c>
      <c r="T55" s="241">
        <f>0</f>
        <v>0</v>
      </c>
      <c r="U55" s="241">
        <f>0</f>
        <v>0</v>
      </c>
      <c r="V55" s="241">
        <f>0</f>
        <v>0</v>
      </c>
      <c r="W55" s="241">
        <f>0</f>
        <v>0</v>
      </c>
      <c r="X55" s="241">
        <f>0</f>
        <v>0</v>
      </c>
      <c r="Y55" s="241">
        <f>0</f>
        <v>0</v>
      </c>
      <c r="Z55" s="241">
        <f>0</f>
        <v>0</v>
      </c>
      <c r="AA55" s="241">
        <f>0</f>
        <v>0</v>
      </c>
      <c r="AB55" s="241">
        <f>0</f>
        <v>0</v>
      </c>
      <c r="AC55" s="241">
        <f>0</f>
        <v>0</v>
      </c>
      <c r="AD55" s="241">
        <f>0</f>
        <v>0</v>
      </c>
      <c r="AE55" s="241">
        <f>0</f>
        <v>0</v>
      </c>
      <c r="AF55" s="241">
        <f>0</f>
        <v>0</v>
      </c>
      <c r="AG55" s="241">
        <f>0</f>
        <v>0</v>
      </c>
    </row>
    <row r="56" spans="1:33" ht="24" hidden="1">
      <c r="A56" s="92"/>
      <c r="B56" s="244" t="s">
        <v>284</v>
      </c>
      <c r="C56" s="241">
        <f>0</f>
        <v>0</v>
      </c>
      <c r="D56" s="241">
        <f>0</f>
        <v>0</v>
      </c>
      <c r="E56" s="241">
        <f>0</f>
        <v>0</v>
      </c>
      <c r="F56" s="241">
        <f>0</f>
        <v>0</v>
      </c>
      <c r="G56" s="241">
        <f>0</f>
        <v>0</v>
      </c>
      <c r="H56" s="241">
        <f>0</f>
        <v>0</v>
      </c>
      <c r="I56" s="241">
        <f>0</f>
        <v>0</v>
      </c>
      <c r="J56" s="241">
        <f>0</f>
        <v>0</v>
      </c>
      <c r="K56" s="241">
        <f>0</f>
        <v>0</v>
      </c>
      <c r="L56" s="241">
        <f>0</f>
        <v>0</v>
      </c>
      <c r="M56" s="241">
        <f>0</f>
        <v>0</v>
      </c>
      <c r="N56" s="241">
        <f>0</f>
        <v>0</v>
      </c>
      <c r="O56" s="241">
        <f>0</f>
        <v>0</v>
      </c>
      <c r="P56" s="241">
        <f>0</f>
        <v>0</v>
      </c>
      <c r="Q56" s="241">
        <f>0</f>
        <v>0</v>
      </c>
      <c r="R56" s="241">
        <f>0</f>
        <v>0</v>
      </c>
      <c r="S56" s="241">
        <f>0</f>
        <v>0</v>
      </c>
      <c r="T56" s="241">
        <f>0</f>
        <v>0</v>
      </c>
      <c r="U56" s="241">
        <f>0</f>
        <v>0</v>
      </c>
      <c r="V56" s="241">
        <f>0</f>
        <v>0</v>
      </c>
      <c r="W56" s="241">
        <f>0</f>
        <v>0</v>
      </c>
      <c r="X56" s="241">
        <f>0</f>
        <v>0</v>
      </c>
      <c r="Y56" s="241">
        <f>0</f>
        <v>0</v>
      </c>
      <c r="Z56" s="241">
        <f>0</f>
        <v>0</v>
      </c>
      <c r="AA56" s="241">
        <f>0</f>
        <v>0</v>
      </c>
      <c r="AB56" s="241">
        <f>0</f>
        <v>0</v>
      </c>
      <c r="AC56" s="241">
        <f>0</f>
        <v>0</v>
      </c>
      <c r="AD56" s="241">
        <f>0</f>
        <v>0</v>
      </c>
      <c r="AE56" s="241">
        <f>0</f>
        <v>0</v>
      </c>
      <c r="AF56" s="241">
        <f>0</f>
        <v>0</v>
      </c>
      <c r="AG56" s="241">
        <f>0</f>
        <v>0</v>
      </c>
    </row>
    <row r="57" spans="1:33" ht="24" hidden="1">
      <c r="A57" s="92"/>
      <c r="B57" s="244" t="s">
        <v>285</v>
      </c>
      <c r="C57" s="241">
        <f>0</f>
        <v>0</v>
      </c>
      <c r="D57" s="241">
        <f>0</f>
        <v>0</v>
      </c>
      <c r="E57" s="241">
        <f>0</f>
        <v>0</v>
      </c>
      <c r="F57" s="241">
        <f>0</f>
        <v>0</v>
      </c>
      <c r="G57" s="241">
        <f>0</f>
        <v>0</v>
      </c>
      <c r="H57" s="241">
        <f>0</f>
        <v>0</v>
      </c>
      <c r="I57" s="241">
        <f>0</f>
        <v>0</v>
      </c>
      <c r="J57" s="241">
        <f>0</f>
        <v>0</v>
      </c>
      <c r="K57" s="241">
        <f>0</f>
        <v>0</v>
      </c>
      <c r="L57" s="241">
        <f>0</f>
        <v>0</v>
      </c>
      <c r="M57" s="241">
        <f>0</f>
        <v>0</v>
      </c>
      <c r="N57" s="241">
        <f>0</f>
        <v>0</v>
      </c>
      <c r="O57" s="241">
        <f>0</f>
        <v>0</v>
      </c>
      <c r="P57" s="241">
        <f>0</f>
        <v>0</v>
      </c>
      <c r="Q57" s="241">
        <f>0</f>
        <v>0</v>
      </c>
      <c r="R57" s="241">
        <f>0</f>
        <v>0</v>
      </c>
      <c r="S57" s="241">
        <f>0</f>
        <v>0</v>
      </c>
      <c r="T57" s="241">
        <f>0</f>
        <v>0</v>
      </c>
      <c r="U57" s="241">
        <f>0</f>
        <v>0</v>
      </c>
      <c r="V57" s="241">
        <f>0</f>
        <v>0</v>
      </c>
      <c r="W57" s="241">
        <f>0</f>
        <v>0</v>
      </c>
      <c r="X57" s="241">
        <f>0</f>
        <v>0</v>
      </c>
      <c r="Y57" s="241">
        <f>0</f>
        <v>0</v>
      </c>
      <c r="Z57" s="241">
        <f>0</f>
        <v>0</v>
      </c>
      <c r="AA57" s="241">
        <f>0</f>
        <v>0</v>
      </c>
      <c r="AB57" s="241">
        <f>0</f>
        <v>0</v>
      </c>
      <c r="AC57" s="241">
        <f>0</f>
        <v>0</v>
      </c>
      <c r="AD57" s="241">
        <f>0</f>
        <v>0</v>
      </c>
      <c r="AE57" s="241">
        <f>0</f>
        <v>0</v>
      </c>
      <c r="AF57" s="241">
        <f>0</f>
        <v>0</v>
      </c>
      <c r="AG57" s="241">
        <f>0</f>
        <v>0</v>
      </c>
    </row>
    <row r="58" spans="1:33" ht="36" hidden="1">
      <c r="A58" s="106"/>
      <c r="B58" s="107" t="s">
        <v>286</v>
      </c>
      <c r="C58" s="242">
        <f>0</f>
        <v>0</v>
      </c>
      <c r="D58" s="242">
        <f>0</f>
        <v>0</v>
      </c>
      <c r="E58" s="242">
        <f>0</f>
        <v>0</v>
      </c>
      <c r="F58" s="242">
        <f>0</f>
        <v>0</v>
      </c>
      <c r="G58" s="242">
        <f>0</f>
        <v>0</v>
      </c>
      <c r="H58" s="242">
        <f>0</f>
        <v>0</v>
      </c>
      <c r="I58" s="242">
        <f>0</f>
        <v>0</v>
      </c>
      <c r="J58" s="242">
        <f>0</f>
        <v>0</v>
      </c>
      <c r="K58" s="242">
        <f>0</f>
        <v>0</v>
      </c>
      <c r="L58" s="242">
        <f>0</f>
        <v>0</v>
      </c>
      <c r="M58" s="242">
        <f>0</f>
        <v>0</v>
      </c>
      <c r="N58" s="242">
        <f>0</f>
        <v>0</v>
      </c>
      <c r="O58" s="242">
        <f>0</f>
        <v>0</v>
      </c>
      <c r="P58" s="242">
        <f>0</f>
        <v>0</v>
      </c>
      <c r="Q58" s="242">
        <f>0</f>
        <v>0</v>
      </c>
      <c r="R58" s="242">
        <f>0</f>
        <v>0</v>
      </c>
      <c r="S58" s="242">
        <f>0</f>
        <v>0</v>
      </c>
      <c r="T58" s="242">
        <f>0</f>
        <v>0</v>
      </c>
      <c r="U58" s="242">
        <f>0</f>
        <v>0</v>
      </c>
      <c r="V58" s="242">
        <f>0</f>
        <v>0</v>
      </c>
      <c r="W58" s="242">
        <f>0</f>
        <v>0</v>
      </c>
      <c r="X58" s="242">
        <f>0</f>
        <v>0</v>
      </c>
      <c r="Y58" s="242">
        <f>0</f>
        <v>0</v>
      </c>
      <c r="Z58" s="242">
        <f>0</f>
        <v>0</v>
      </c>
      <c r="AA58" s="242">
        <f>0</f>
        <v>0</v>
      </c>
      <c r="AB58" s="242">
        <f>0</f>
        <v>0</v>
      </c>
      <c r="AC58" s="242">
        <f>0</f>
        <v>0</v>
      </c>
      <c r="AD58" s="242">
        <f>0</f>
        <v>0</v>
      </c>
      <c r="AE58" s="242">
        <f>0</f>
        <v>0</v>
      </c>
      <c r="AF58" s="242">
        <f>0</f>
        <v>0</v>
      </c>
      <c r="AG58" s="242">
        <f>0</f>
        <v>0</v>
      </c>
    </row>
    <row r="59" spans="1:33" ht="14.25">
      <c r="A59" s="108">
        <v>18</v>
      </c>
      <c r="B59" s="109" t="s">
        <v>69</v>
      </c>
      <c r="C59" s="240">
        <f>0.3754</f>
        <v>0.3754</v>
      </c>
      <c r="D59" s="240">
        <f>0.3747</f>
        <v>0.3747</v>
      </c>
      <c r="E59" s="240">
        <f>0.3577</f>
        <v>0.3577</v>
      </c>
      <c r="F59" s="240">
        <f>0.3188</f>
        <v>0.3188</v>
      </c>
      <c r="G59" s="240">
        <f>0.2771</f>
        <v>0.2771</v>
      </c>
      <c r="H59" s="240">
        <f>0.2128</f>
        <v>0.2128</v>
      </c>
      <c r="I59" s="240">
        <f>0.136</f>
        <v>0.136</v>
      </c>
      <c r="J59" s="240">
        <f>0.1209</f>
        <v>0.1209</v>
      </c>
      <c r="K59" s="240">
        <f>0.0457</f>
        <v>0.0457</v>
      </c>
      <c r="L59" s="240">
        <f>0</f>
        <v>0</v>
      </c>
      <c r="M59" s="240">
        <f>0</f>
        <v>0</v>
      </c>
      <c r="N59" s="240">
        <f>0</f>
        <v>0</v>
      </c>
      <c r="O59" s="240">
        <f>0</f>
        <v>0</v>
      </c>
      <c r="P59" s="240">
        <f>0</f>
        <v>0</v>
      </c>
      <c r="Q59" s="240">
        <f>0</f>
        <v>0</v>
      </c>
      <c r="R59" s="240">
        <f>0</f>
        <v>0</v>
      </c>
      <c r="S59" s="240">
        <f>0</f>
        <v>0</v>
      </c>
      <c r="T59" s="240">
        <f>0</f>
        <v>0</v>
      </c>
      <c r="U59" s="240">
        <f>0</f>
        <v>0</v>
      </c>
      <c r="V59" s="240">
        <f>0</f>
        <v>0</v>
      </c>
      <c r="W59" s="240">
        <f>0</f>
        <v>0</v>
      </c>
      <c r="X59" s="240">
        <f>0</f>
        <v>0</v>
      </c>
      <c r="Y59" s="240">
        <f>0</f>
        <v>0</v>
      </c>
      <c r="Z59" s="240">
        <f>0</f>
        <v>0</v>
      </c>
      <c r="AA59" s="240">
        <f>0</f>
        <v>0</v>
      </c>
      <c r="AB59" s="240">
        <f>0</f>
        <v>0</v>
      </c>
      <c r="AC59" s="240">
        <f>0</f>
        <v>0</v>
      </c>
      <c r="AD59" s="240">
        <f>0</f>
        <v>0</v>
      </c>
      <c r="AE59" s="240">
        <f>0</f>
        <v>0</v>
      </c>
      <c r="AF59" s="240">
        <f>0</f>
        <v>0</v>
      </c>
      <c r="AG59" s="240">
        <f>0</f>
        <v>0</v>
      </c>
    </row>
    <row r="60" spans="1:33" ht="24">
      <c r="A60" s="92" t="s">
        <v>128</v>
      </c>
      <c r="B60" s="93" t="s">
        <v>71</v>
      </c>
      <c r="C60" s="246">
        <f>0.3754</f>
        <v>0.3754</v>
      </c>
      <c r="D60" s="246">
        <f>0.3747</f>
        <v>0.3747</v>
      </c>
      <c r="E60" s="246">
        <f>0.3577</f>
        <v>0.3577</v>
      </c>
      <c r="F60" s="246">
        <f>0.3188</f>
        <v>0.3188</v>
      </c>
      <c r="G60" s="246">
        <f>0.2771</f>
        <v>0.2771</v>
      </c>
      <c r="H60" s="246">
        <f>0.2128</f>
        <v>0.2128</v>
      </c>
      <c r="I60" s="246">
        <f>0.136</f>
        <v>0.136</v>
      </c>
      <c r="J60" s="246">
        <f>0.1209</f>
        <v>0.1209</v>
      </c>
      <c r="K60" s="246">
        <f>0.0457</f>
        <v>0.0457</v>
      </c>
      <c r="L60" s="246">
        <f>0</f>
        <v>0</v>
      </c>
      <c r="M60" s="246">
        <f>0</f>
        <v>0</v>
      </c>
      <c r="N60" s="246">
        <f>0</f>
        <v>0</v>
      </c>
      <c r="O60" s="246">
        <f>0</f>
        <v>0</v>
      </c>
      <c r="P60" s="246">
        <f>0</f>
        <v>0</v>
      </c>
      <c r="Q60" s="246">
        <f>0</f>
        <v>0</v>
      </c>
      <c r="R60" s="246">
        <f>0</f>
        <v>0</v>
      </c>
      <c r="S60" s="246">
        <f>0</f>
        <v>0</v>
      </c>
      <c r="T60" s="246">
        <f>0</f>
        <v>0</v>
      </c>
      <c r="U60" s="246">
        <f>0</f>
        <v>0</v>
      </c>
      <c r="V60" s="246">
        <f>0</f>
        <v>0</v>
      </c>
      <c r="W60" s="246">
        <f>0</f>
        <v>0</v>
      </c>
      <c r="X60" s="246">
        <f>0</f>
        <v>0</v>
      </c>
      <c r="Y60" s="246">
        <f>0</f>
        <v>0</v>
      </c>
      <c r="Z60" s="246">
        <f>0</f>
        <v>0</v>
      </c>
      <c r="AA60" s="246">
        <f>0</f>
        <v>0</v>
      </c>
      <c r="AB60" s="246">
        <f>0</f>
        <v>0</v>
      </c>
      <c r="AC60" s="246">
        <f>0</f>
        <v>0</v>
      </c>
      <c r="AD60" s="246">
        <f>0</f>
        <v>0</v>
      </c>
      <c r="AE60" s="246">
        <f>0</f>
        <v>0</v>
      </c>
      <c r="AF60" s="246">
        <f>0</f>
        <v>0</v>
      </c>
      <c r="AG60" s="246">
        <f>0</f>
        <v>0</v>
      </c>
    </row>
    <row r="61" spans="1:33" ht="24">
      <c r="A61" s="92">
        <v>19</v>
      </c>
      <c r="B61" s="94" t="s">
        <v>72</v>
      </c>
      <c r="C61" s="246">
        <f>0.1365</f>
        <v>0.1365</v>
      </c>
      <c r="D61" s="246">
        <f>0.0442</f>
        <v>0.0442</v>
      </c>
      <c r="E61" s="246">
        <f>0.061</f>
        <v>0.061</v>
      </c>
      <c r="F61" s="246">
        <f>0.0584</f>
        <v>0.0584</v>
      </c>
      <c r="G61" s="246">
        <f>0.0618</f>
        <v>0.0618</v>
      </c>
      <c r="H61" s="246">
        <f>0.0649</f>
        <v>0.0649</v>
      </c>
      <c r="I61" s="246">
        <f>0.0734</f>
        <v>0.0734</v>
      </c>
      <c r="J61" s="246">
        <f>0.0203</f>
        <v>0.0203</v>
      </c>
      <c r="K61" s="246">
        <f>0.0728</f>
        <v>0.0728</v>
      </c>
      <c r="L61" s="246">
        <f>0.0476</f>
        <v>0.0476</v>
      </c>
      <c r="M61" s="246">
        <f>0</f>
        <v>0</v>
      </c>
      <c r="N61" s="246">
        <f>0</f>
        <v>0</v>
      </c>
      <c r="O61" s="246">
        <f>0</f>
        <v>0</v>
      </c>
      <c r="P61" s="246">
        <f>0</f>
        <v>0</v>
      </c>
      <c r="Q61" s="246">
        <f>0</f>
        <v>0</v>
      </c>
      <c r="R61" s="246">
        <f>0</f>
        <v>0</v>
      </c>
      <c r="S61" s="246">
        <f>0</f>
        <v>0</v>
      </c>
      <c r="T61" s="246">
        <f>0</f>
        <v>0</v>
      </c>
      <c r="U61" s="246">
        <f>0</f>
        <v>0</v>
      </c>
      <c r="V61" s="246">
        <f>0</f>
        <v>0</v>
      </c>
      <c r="W61" s="246">
        <f>0</f>
        <v>0</v>
      </c>
      <c r="X61" s="246">
        <f>0</f>
        <v>0</v>
      </c>
      <c r="Y61" s="246">
        <f>0</f>
        <v>0</v>
      </c>
      <c r="Z61" s="246">
        <f>0</f>
        <v>0</v>
      </c>
      <c r="AA61" s="246">
        <f>0</f>
        <v>0</v>
      </c>
      <c r="AB61" s="246">
        <f>0</f>
        <v>0</v>
      </c>
      <c r="AC61" s="246">
        <f>0</f>
        <v>0</v>
      </c>
      <c r="AD61" s="246">
        <f>0</f>
        <v>0</v>
      </c>
      <c r="AE61" s="246">
        <f>0</f>
        <v>0</v>
      </c>
      <c r="AF61" s="246">
        <f>0</f>
        <v>0</v>
      </c>
      <c r="AG61" s="246">
        <f>0</f>
        <v>0</v>
      </c>
    </row>
    <row r="62" spans="1:33" ht="24">
      <c r="A62" s="106" t="s">
        <v>129</v>
      </c>
      <c r="B62" s="110" t="s">
        <v>74</v>
      </c>
      <c r="C62" s="247">
        <f>0.1365</f>
        <v>0.1365</v>
      </c>
      <c r="D62" s="247">
        <f>0.0442</f>
        <v>0.0442</v>
      </c>
      <c r="E62" s="247">
        <f>0.061</f>
        <v>0.061</v>
      </c>
      <c r="F62" s="247">
        <f>0.0584</f>
        <v>0.0584</v>
      </c>
      <c r="G62" s="247">
        <f>0.0618</f>
        <v>0.0618</v>
      </c>
      <c r="H62" s="247">
        <f>0.0649</f>
        <v>0.0649</v>
      </c>
      <c r="I62" s="247">
        <f>0.0734</f>
        <v>0.0734</v>
      </c>
      <c r="J62" s="247">
        <f>0.0203</f>
        <v>0.0203</v>
      </c>
      <c r="K62" s="247">
        <f>0.0728</f>
        <v>0.0728</v>
      </c>
      <c r="L62" s="247">
        <f>0.0476</f>
        <v>0.0476</v>
      </c>
      <c r="M62" s="247">
        <f>0</f>
        <v>0</v>
      </c>
      <c r="N62" s="247">
        <f>0</f>
        <v>0</v>
      </c>
      <c r="O62" s="247">
        <f>0</f>
        <v>0</v>
      </c>
      <c r="P62" s="247">
        <f>0</f>
        <v>0</v>
      </c>
      <c r="Q62" s="247">
        <f>0</f>
        <v>0</v>
      </c>
      <c r="R62" s="247">
        <f>0</f>
        <v>0</v>
      </c>
      <c r="S62" s="247">
        <f>0</f>
        <v>0</v>
      </c>
      <c r="T62" s="247">
        <f>0</f>
        <v>0</v>
      </c>
      <c r="U62" s="247">
        <f>0</f>
        <v>0</v>
      </c>
      <c r="V62" s="247">
        <f>0</f>
        <v>0</v>
      </c>
      <c r="W62" s="247">
        <f>0</f>
        <v>0</v>
      </c>
      <c r="X62" s="247">
        <f>0</f>
        <v>0</v>
      </c>
      <c r="Y62" s="247">
        <f>0</f>
        <v>0</v>
      </c>
      <c r="Z62" s="247">
        <f>0</f>
        <v>0</v>
      </c>
      <c r="AA62" s="247">
        <f>0</f>
        <v>0</v>
      </c>
      <c r="AB62" s="247">
        <f>0</f>
        <v>0</v>
      </c>
      <c r="AC62" s="247">
        <f>0</f>
        <v>0</v>
      </c>
      <c r="AD62" s="247">
        <f>0</f>
        <v>0</v>
      </c>
      <c r="AE62" s="247">
        <f>0</f>
        <v>0</v>
      </c>
      <c r="AF62" s="247">
        <f>0</f>
        <v>0</v>
      </c>
      <c r="AG62" s="247">
        <f>0</f>
        <v>0</v>
      </c>
    </row>
    <row r="63" spans="1:33" ht="14.25">
      <c r="A63" s="108">
        <v>20</v>
      </c>
      <c r="B63" s="109" t="s">
        <v>130</v>
      </c>
      <c r="C63" s="240">
        <f>0.11</f>
        <v>0.11</v>
      </c>
      <c r="D63" s="240">
        <f>0.0934</f>
        <v>0.0934</v>
      </c>
      <c r="E63" s="240">
        <f>0.064</f>
        <v>0.064</v>
      </c>
      <c r="F63" s="240">
        <f>0.0766</f>
        <v>0.0766</v>
      </c>
      <c r="G63" s="240">
        <f>0.0661</f>
        <v>0.0661</v>
      </c>
      <c r="H63" s="240">
        <f>0.0784</f>
        <v>0.0784</v>
      </c>
      <c r="I63" s="240">
        <f>0.0941</f>
        <v>0.0941</v>
      </c>
      <c r="J63" s="240">
        <f>0.0599</f>
        <v>0.0599</v>
      </c>
      <c r="K63" s="240">
        <f>0.0935</f>
        <v>0.0935</v>
      </c>
      <c r="L63" s="240">
        <f>0.0997</f>
        <v>0.0997</v>
      </c>
      <c r="M63" s="240">
        <f>0</f>
        <v>0</v>
      </c>
      <c r="N63" s="240">
        <f>0</f>
        <v>0</v>
      </c>
      <c r="O63" s="240">
        <f>0</f>
        <v>0</v>
      </c>
      <c r="P63" s="240">
        <f>0</f>
        <v>0</v>
      </c>
      <c r="Q63" s="240">
        <f>0</f>
        <v>0</v>
      </c>
      <c r="R63" s="240">
        <f>0</f>
        <v>0</v>
      </c>
      <c r="S63" s="240">
        <f>0</f>
        <v>0</v>
      </c>
      <c r="T63" s="240">
        <f>0</f>
        <v>0</v>
      </c>
      <c r="U63" s="240">
        <f>0</f>
        <v>0</v>
      </c>
      <c r="V63" s="240">
        <f>0</f>
        <v>0</v>
      </c>
      <c r="W63" s="240">
        <f>0</f>
        <v>0</v>
      </c>
      <c r="X63" s="240">
        <f>0</f>
        <v>0</v>
      </c>
      <c r="Y63" s="240">
        <f>0</f>
        <v>0</v>
      </c>
      <c r="Z63" s="240">
        <f>0</f>
        <v>0</v>
      </c>
      <c r="AA63" s="240">
        <f>0</f>
        <v>0</v>
      </c>
      <c r="AB63" s="240">
        <f>0</f>
        <v>0</v>
      </c>
      <c r="AC63" s="240">
        <f>0</f>
        <v>0</v>
      </c>
      <c r="AD63" s="240">
        <f>0</f>
        <v>0</v>
      </c>
      <c r="AE63" s="240">
        <f>0</f>
        <v>0</v>
      </c>
      <c r="AF63" s="240">
        <f>0</f>
        <v>0</v>
      </c>
      <c r="AG63" s="240">
        <f>0</f>
        <v>0</v>
      </c>
    </row>
    <row r="64" spans="1:33" ht="14.25">
      <c r="A64" s="92" t="s">
        <v>131</v>
      </c>
      <c r="B64" s="93" t="s">
        <v>52</v>
      </c>
      <c r="C64" s="246">
        <f>0.0705</f>
        <v>0.0705</v>
      </c>
      <c r="D64" s="246">
        <f>0.0719</f>
        <v>0.0719</v>
      </c>
      <c r="E64" s="246">
        <f>0.0859</f>
        <v>0.0859</v>
      </c>
      <c r="F64" s="246">
        <f>0.0891</f>
        <v>0.0891</v>
      </c>
      <c r="G64" s="246">
        <f>0.078</f>
        <v>0.078</v>
      </c>
      <c r="H64" s="246">
        <f>0.0689</f>
        <v>0.0689</v>
      </c>
      <c r="I64" s="246">
        <f>0.0737</f>
        <v>0.0737</v>
      </c>
      <c r="J64" s="246">
        <f>0.0795</f>
        <v>0.0795</v>
      </c>
      <c r="K64" s="246">
        <f>0.0775</f>
        <v>0.0775</v>
      </c>
      <c r="L64" s="246">
        <f>0.0825</f>
        <v>0.0825</v>
      </c>
      <c r="M64" s="246">
        <f>0</f>
        <v>0</v>
      </c>
      <c r="N64" s="246">
        <f>0</f>
        <v>0</v>
      </c>
      <c r="O64" s="246">
        <f>0</f>
        <v>0</v>
      </c>
      <c r="P64" s="246">
        <f>0</f>
        <v>0</v>
      </c>
      <c r="Q64" s="246">
        <f>0</f>
        <v>0</v>
      </c>
      <c r="R64" s="246">
        <f>0</f>
        <v>0</v>
      </c>
      <c r="S64" s="246">
        <f>0</f>
        <v>0</v>
      </c>
      <c r="T64" s="246">
        <f>0</f>
        <v>0</v>
      </c>
      <c r="U64" s="246">
        <f>0</f>
        <v>0</v>
      </c>
      <c r="V64" s="246">
        <f>0</f>
        <v>0</v>
      </c>
      <c r="W64" s="246">
        <f>0</f>
        <v>0</v>
      </c>
      <c r="X64" s="246">
        <f>0</f>
        <v>0</v>
      </c>
      <c r="Y64" s="246">
        <f>0</f>
        <v>0</v>
      </c>
      <c r="Z64" s="246">
        <f>0</f>
        <v>0</v>
      </c>
      <c r="AA64" s="246">
        <f>0</f>
        <v>0</v>
      </c>
      <c r="AB64" s="246">
        <f>0</f>
        <v>0</v>
      </c>
      <c r="AC64" s="246">
        <f>0</f>
        <v>0</v>
      </c>
      <c r="AD64" s="246">
        <f>0</f>
        <v>0</v>
      </c>
      <c r="AE64" s="246">
        <f>0</f>
        <v>0</v>
      </c>
      <c r="AF64" s="246">
        <f>0</f>
        <v>0</v>
      </c>
      <c r="AG64" s="246">
        <f>0</f>
        <v>0</v>
      </c>
    </row>
    <row r="65" spans="1:33" ht="24">
      <c r="A65" s="92" t="s">
        <v>262</v>
      </c>
      <c r="B65" s="93" t="s">
        <v>287</v>
      </c>
      <c r="C65" s="246">
        <f>0.0705</f>
        <v>0.0705</v>
      </c>
      <c r="D65" s="246">
        <f>0.0719</f>
        <v>0.0719</v>
      </c>
      <c r="E65" s="246">
        <f>0.0859</f>
        <v>0.0859</v>
      </c>
      <c r="F65" s="246">
        <f>0.0891</f>
        <v>0.0891</v>
      </c>
      <c r="G65" s="246">
        <f>0.078</f>
        <v>0.078</v>
      </c>
      <c r="H65" s="246">
        <f>0.0689</f>
        <v>0.0689</v>
      </c>
      <c r="I65" s="246">
        <f>0.0737</f>
        <v>0.0737</v>
      </c>
      <c r="J65" s="246">
        <f>0.0795</f>
        <v>0.0795</v>
      </c>
      <c r="K65" s="246">
        <f>0.0775</f>
        <v>0.0775</v>
      </c>
      <c r="L65" s="246">
        <f>0.0825</f>
        <v>0.0825</v>
      </c>
      <c r="M65" s="246">
        <f>0</f>
        <v>0</v>
      </c>
      <c r="N65" s="246">
        <f>0</f>
        <v>0</v>
      </c>
      <c r="O65" s="246">
        <f>0</f>
        <v>0</v>
      </c>
      <c r="P65" s="246">
        <f>0</f>
        <v>0</v>
      </c>
      <c r="Q65" s="246">
        <f>0</f>
        <v>0</v>
      </c>
      <c r="R65" s="246">
        <f>0</f>
        <v>0</v>
      </c>
      <c r="S65" s="246">
        <f>0</f>
        <v>0</v>
      </c>
      <c r="T65" s="246">
        <f>0</f>
        <v>0</v>
      </c>
      <c r="U65" s="246">
        <f>0</f>
        <v>0</v>
      </c>
      <c r="V65" s="246">
        <f>0</f>
        <v>0</v>
      </c>
      <c r="W65" s="246">
        <f>0</f>
        <v>0</v>
      </c>
      <c r="X65" s="246">
        <f>0</f>
        <v>0</v>
      </c>
      <c r="Y65" s="246">
        <f>0</f>
        <v>0</v>
      </c>
      <c r="Z65" s="246">
        <f>0</f>
        <v>0</v>
      </c>
      <c r="AA65" s="246">
        <f>0</f>
        <v>0</v>
      </c>
      <c r="AB65" s="246">
        <f>0</f>
        <v>0</v>
      </c>
      <c r="AC65" s="246">
        <f>0</f>
        <v>0</v>
      </c>
      <c r="AD65" s="246">
        <f>0</f>
        <v>0</v>
      </c>
      <c r="AE65" s="246">
        <f>0</f>
        <v>0</v>
      </c>
      <c r="AF65" s="246">
        <f>0</f>
        <v>0</v>
      </c>
      <c r="AG65" s="246">
        <f>0</f>
        <v>0</v>
      </c>
    </row>
    <row r="66" spans="1:33" ht="24">
      <c r="A66" s="92">
        <v>21</v>
      </c>
      <c r="B66" s="93" t="s">
        <v>288</v>
      </c>
      <c r="C66" s="246">
        <f>0.1365</f>
        <v>0.1365</v>
      </c>
      <c r="D66" s="246">
        <f>0.0442</f>
        <v>0.0442</v>
      </c>
      <c r="E66" s="246">
        <f>0.061</f>
        <v>0.061</v>
      </c>
      <c r="F66" s="246">
        <f>0.0584</f>
        <v>0.0584</v>
      </c>
      <c r="G66" s="246">
        <f>0.0618</f>
        <v>0.0618</v>
      </c>
      <c r="H66" s="246">
        <f>0.0649</f>
        <v>0.0649</v>
      </c>
      <c r="I66" s="246">
        <f>0.0734</f>
        <v>0.0734</v>
      </c>
      <c r="J66" s="246">
        <f>0.0203</f>
        <v>0.0203</v>
      </c>
      <c r="K66" s="246">
        <f>0.0728</f>
        <v>0.0728</v>
      </c>
      <c r="L66" s="246">
        <f>0.0476</f>
        <v>0.0476</v>
      </c>
      <c r="M66" s="246">
        <f>0</f>
        <v>0</v>
      </c>
      <c r="N66" s="246">
        <f>0</f>
        <v>0</v>
      </c>
      <c r="O66" s="246">
        <f>0</f>
        <v>0</v>
      </c>
      <c r="P66" s="246">
        <f>0</f>
        <v>0</v>
      </c>
      <c r="Q66" s="246">
        <f>0</f>
        <v>0</v>
      </c>
      <c r="R66" s="246">
        <f>0</f>
        <v>0</v>
      </c>
      <c r="S66" s="246">
        <f>0</f>
        <v>0</v>
      </c>
      <c r="T66" s="246">
        <f>0</f>
        <v>0</v>
      </c>
      <c r="U66" s="246">
        <f>0</f>
        <v>0</v>
      </c>
      <c r="V66" s="246">
        <f>0</f>
        <v>0</v>
      </c>
      <c r="W66" s="246">
        <f>0</f>
        <v>0</v>
      </c>
      <c r="X66" s="246">
        <f>0</f>
        <v>0</v>
      </c>
      <c r="Y66" s="246">
        <f>0</f>
        <v>0</v>
      </c>
      <c r="Z66" s="246">
        <f>0</f>
        <v>0</v>
      </c>
      <c r="AA66" s="246">
        <f>0</f>
        <v>0</v>
      </c>
      <c r="AB66" s="246">
        <f>0</f>
        <v>0</v>
      </c>
      <c r="AC66" s="246">
        <f>0</f>
        <v>0</v>
      </c>
      <c r="AD66" s="246">
        <f>0</f>
        <v>0</v>
      </c>
      <c r="AE66" s="246">
        <f>0</f>
        <v>0</v>
      </c>
      <c r="AF66" s="246">
        <f>0</f>
        <v>0</v>
      </c>
      <c r="AG66" s="246">
        <f>0</f>
        <v>0</v>
      </c>
    </row>
    <row r="67" spans="1:33" ht="24">
      <c r="A67" s="91" t="s">
        <v>132</v>
      </c>
      <c r="B67" s="59" t="s">
        <v>289</v>
      </c>
      <c r="C67" s="248" t="str">
        <f>+IF(C66&lt;=C64,"Spełnia","Nie spełnia")</f>
        <v>Nie spełnia</v>
      </c>
      <c r="D67" s="248" t="str">
        <f aca="true" t="shared" si="1" ref="D67:AG67">+IF(D66&lt;=D64,"Spełnia","Nie spełnia")</f>
        <v>Spełnia</v>
      </c>
      <c r="E67" s="248" t="str">
        <f t="shared" si="1"/>
        <v>Spełnia</v>
      </c>
      <c r="F67" s="248" t="str">
        <f t="shared" si="1"/>
        <v>Spełnia</v>
      </c>
      <c r="G67" s="248" t="str">
        <f t="shared" si="1"/>
        <v>Spełnia</v>
      </c>
      <c r="H67" s="248" t="str">
        <f t="shared" si="1"/>
        <v>Spełnia</v>
      </c>
      <c r="I67" s="248" t="str">
        <f t="shared" si="1"/>
        <v>Spełnia</v>
      </c>
      <c r="J67" s="248" t="str">
        <f t="shared" si="1"/>
        <v>Spełnia</v>
      </c>
      <c r="K67" s="248" t="str">
        <f t="shared" si="1"/>
        <v>Spełnia</v>
      </c>
      <c r="L67" s="248" t="str">
        <f t="shared" si="1"/>
        <v>Spełnia</v>
      </c>
      <c r="M67" s="248" t="str">
        <f t="shared" si="1"/>
        <v>Spełnia</v>
      </c>
      <c r="N67" s="248" t="str">
        <f t="shared" si="1"/>
        <v>Spełnia</v>
      </c>
      <c r="O67" s="248" t="str">
        <f t="shared" si="1"/>
        <v>Spełnia</v>
      </c>
      <c r="P67" s="248" t="str">
        <f t="shared" si="1"/>
        <v>Spełnia</v>
      </c>
      <c r="Q67" s="248" t="str">
        <f t="shared" si="1"/>
        <v>Spełnia</v>
      </c>
      <c r="R67" s="248" t="str">
        <f t="shared" si="1"/>
        <v>Spełnia</v>
      </c>
      <c r="S67" s="248" t="str">
        <f t="shared" si="1"/>
        <v>Spełnia</v>
      </c>
      <c r="T67" s="248" t="str">
        <f t="shared" si="1"/>
        <v>Spełnia</v>
      </c>
      <c r="U67" s="248" t="str">
        <f t="shared" si="1"/>
        <v>Spełnia</v>
      </c>
      <c r="V67" s="248" t="str">
        <f t="shared" si="1"/>
        <v>Spełnia</v>
      </c>
      <c r="W67" s="248" t="str">
        <f t="shared" si="1"/>
        <v>Spełnia</v>
      </c>
      <c r="X67" s="248" t="str">
        <f t="shared" si="1"/>
        <v>Spełnia</v>
      </c>
      <c r="Y67" s="248" t="str">
        <f t="shared" si="1"/>
        <v>Spełnia</v>
      </c>
      <c r="Z67" s="248" t="str">
        <f t="shared" si="1"/>
        <v>Spełnia</v>
      </c>
      <c r="AA67" s="248" t="str">
        <f t="shared" si="1"/>
        <v>Spełnia</v>
      </c>
      <c r="AB67" s="248" t="str">
        <f t="shared" si="1"/>
        <v>Spełnia</v>
      </c>
      <c r="AC67" s="248" t="str">
        <f t="shared" si="1"/>
        <v>Spełnia</v>
      </c>
      <c r="AD67" s="248" t="str">
        <f t="shared" si="1"/>
        <v>Spełnia</v>
      </c>
      <c r="AE67" s="248" t="str">
        <f t="shared" si="1"/>
        <v>Spełnia</v>
      </c>
      <c r="AF67" s="248" t="str">
        <f t="shared" si="1"/>
        <v>Spełnia</v>
      </c>
      <c r="AG67" s="248" t="str">
        <f t="shared" si="1"/>
        <v>Spełnia</v>
      </c>
    </row>
    <row r="68" spans="1:33" ht="24">
      <c r="A68" s="91" t="s">
        <v>263</v>
      </c>
      <c r="B68" s="59" t="s">
        <v>290</v>
      </c>
      <c r="C68" s="248" t="str">
        <f>+IF(C66&lt;=C65,"Spełnia","Nie spełnia")</f>
        <v>Nie spełnia</v>
      </c>
      <c r="D68" s="248" t="str">
        <f aca="true" t="shared" si="2" ref="D68:AG68">+IF(D66&lt;=D65,"Spełnia","Nie spełnia")</f>
        <v>Spełnia</v>
      </c>
      <c r="E68" s="248" t="str">
        <f t="shared" si="2"/>
        <v>Spełnia</v>
      </c>
      <c r="F68" s="248" t="str">
        <f t="shared" si="2"/>
        <v>Spełnia</v>
      </c>
      <c r="G68" s="248" t="str">
        <f t="shared" si="2"/>
        <v>Spełnia</v>
      </c>
      <c r="H68" s="248" t="str">
        <f t="shared" si="2"/>
        <v>Spełnia</v>
      </c>
      <c r="I68" s="248" t="str">
        <f t="shared" si="2"/>
        <v>Spełnia</v>
      </c>
      <c r="J68" s="248" t="str">
        <f t="shared" si="2"/>
        <v>Spełnia</v>
      </c>
      <c r="K68" s="248" t="str">
        <f t="shared" si="2"/>
        <v>Spełnia</v>
      </c>
      <c r="L68" s="248" t="str">
        <f t="shared" si="2"/>
        <v>Spełnia</v>
      </c>
      <c r="M68" s="248" t="str">
        <f t="shared" si="2"/>
        <v>Spełnia</v>
      </c>
      <c r="N68" s="248" t="str">
        <f t="shared" si="2"/>
        <v>Spełnia</v>
      </c>
      <c r="O68" s="248" t="str">
        <f t="shared" si="2"/>
        <v>Spełnia</v>
      </c>
      <c r="P68" s="248" t="str">
        <f t="shared" si="2"/>
        <v>Spełnia</v>
      </c>
      <c r="Q68" s="248" t="str">
        <f t="shared" si="2"/>
        <v>Spełnia</v>
      </c>
      <c r="R68" s="248" t="str">
        <f t="shared" si="2"/>
        <v>Spełnia</v>
      </c>
      <c r="S68" s="248" t="str">
        <f t="shared" si="2"/>
        <v>Spełnia</v>
      </c>
      <c r="T68" s="248" t="str">
        <f t="shared" si="2"/>
        <v>Spełnia</v>
      </c>
      <c r="U68" s="248" t="str">
        <f t="shared" si="2"/>
        <v>Spełnia</v>
      </c>
      <c r="V68" s="248" t="str">
        <f t="shared" si="2"/>
        <v>Spełnia</v>
      </c>
      <c r="W68" s="248" t="str">
        <f t="shared" si="2"/>
        <v>Spełnia</v>
      </c>
      <c r="X68" s="248" t="str">
        <f t="shared" si="2"/>
        <v>Spełnia</v>
      </c>
      <c r="Y68" s="248" t="str">
        <f t="shared" si="2"/>
        <v>Spełnia</v>
      </c>
      <c r="Z68" s="248" t="str">
        <f t="shared" si="2"/>
        <v>Spełnia</v>
      </c>
      <c r="AA68" s="248" t="str">
        <f t="shared" si="2"/>
        <v>Spełnia</v>
      </c>
      <c r="AB68" s="248" t="str">
        <f t="shared" si="2"/>
        <v>Spełnia</v>
      </c>
      <c r="AC68" s="248" t="str">
        <f t="shared" si="2"/>
        <v>Spełnia</v>
      </c>
      <c r="AD68" s="248" t="str">
        <f t="shared" si="2"/>
        <v>Spełnia</v>
      </c>
      <c r="AE68" s="248" t="str">
        <f t="shared" si="2"/>
        <v>Spełnia</v>
      </c>
      <c r="AF68" s="248" t="str">
        <f t="shared" si="2"/>
        <v>Spełnia</v>
      </c>
      <c r="AG68" s="248" t="str">
        <f t="shared" si="2"/>
        <v>Spełnia</v>
      </c>
    </row>
    <row r="69" spans="1:33" ht="25.5">
      <c r="A69" s="95">
        <v>22</v>
      </c>
      <c r="B69" s="96" t="s">
        <v>291</v>
      </c>
      <c r="C69" s="246">
        <f>0.1365</f>
        <v>0.1365</v>
      </c>
      <c r="D69" s="246">
        <f>0.0442</f>
        <v>0.0442</v>
      </c>
      <c r="E69" s="246">
        <f>0.061</f>
        <v>0.061</v>
      </c>
      <c r="F69" s="246">
        <f>0.0584</f>
        <v>0.0584</v>
      </c>
      <c r="G69" s="246">
        <f>0.0618</f>
        <v>0.0618</v>
      </c>
      <c r="H69" s="246">
        <f>0.0649</f>
        <v>0.0649</v>
      </c>
      <c r="I69" s="246">
        <f>0.0734</f>
        <v>0.0734</v>
      </c>
      <c r="J69" s="246">
        <f>0.0203</f>
        <v>0.0203</v>
      </c>
      <c r="K69" s="246">
        <f>0.0728</f>
        <v>0.0728</v>
      </c>
      <c r="L69" s="246">
        <f>0.0476</f>
        <v>0.0476</v>
      </c>
      <c r="M69" s="246">
        <f>0</f>
        <v>0</v>
      </c>
      <c r="N69" s="246">
        <f>0</f>
        <v>0</v>
      </c>
      <c r="O69" s="246">
        <f>0</f>
        <v>0</v>
      </c>
      <c r="P69" s="246">
        <f>0</f>
        <v>0</v>
      </c>
      <c r="Q69" s="246">
        <f>0</f>
        <v>0</v>
      </c>
      <c r="R69" s="246">
        <f>0</f>
        <v>0</v>
      </c>
      <c r="S69" s="246">
        <f>0</f>
        <v>0</v>
      </c>
      <c r="T69" s="246">
        <f>0</f>
        <v>0</v>
      </c>
      <c r="U69" s="246">
        <f>0</f>
        <v>0</v>
      </c>
      <c r="V69" s="246">
        <f>0</f>
        <v>0</v>
      </c>
      <c r="W69" s="246">
        <f>0</f>
        <v>0</v>
      </c>
      <c r="X69" s="246">
        <f>0</f>
        <v>0</v>
      </c>
      <c r="Y69" s="246">
        <f>0</f>
        <v>0</v>
      </c>
      <c r="Z69" s="246">
        <f>0</f>
        <v>0</v>
      </c>
      <c r="AA69" s="246">
        <f>0</f>
        <v>0</v>
      </c>
      <c r="AB69" s="246">
        <f>0</f>
        <v>0</v>
      </c>
      <c r="AC69" s="246">
        <f>0</f>
        <v>0</v>
      </c>
      <c r="AD69" s="246">
        <f>0</f>
        <v>0</v>
      </c>
      <c r="AE69" s="246">
        <f>0</f>
        <v>0</v>
      </c>
      <c r="AF69" s="246">
        <f>0</f>
        <v>0</v>
      </c>
      <c r="AG69" s="246">
        <f>0</f>
        <v>0</v>
      </c>
    </row>
    <row r="70" spans="1:33" ht="25.5">
      <c r="A70" s="97" t="s">
        <v>133</v>
      </c>
      <c r="B70" s="249" t="s">
        <v>292</v>
      </c>
      <c r="C70" s="248" t="str">
        <f>+IF(C69&lt;=C64,"Spełnia","Nie spełnia")</f>
        <v>Nie spełnia</v>
      </c>
      <c r="D70" s="248" t="str">
        <f aca="true" t="shared" si="3" ref="D70:AG70">+IF(D69&lt;=D64,"Spełnia","Nie spełnia")</f>
        <v>Spełnia</v>
      </c>
      <c r="E70" s="248" t="str">
        <f t="shared" si="3"/>
        <v>Spełnia</v>
      </c>
      <c r="F70" s="248" t="str">
        <f t="shared" si="3"/>
        <v>Spełnia</v>
      </c>
      <c r="G70" s="248" t="str">
        <f t="shared" si="3"/>
        <v>Spełnia</v>
      </c>
      <c r="H70" s="248" t="str">
        <f t="shared" si="3"/>
        <v>Spełnia</v>
      </c>
      <c r="I70" s="248" t="str">
        <f t="shared" si="3"/>
        <v>Spełnia</v>
      </c>
      <c r="J70" s="248" t="str">
        <f t="shared" si="3"/>
        <v>Spełnia</v>
      </c>
      <c r="K70" s="248" t="str">
        <f t="shared" si="3"/>
        <v>Spełnia</v>
      </c>
      <c r="L70" s="248" t="str">
        <f t="shared" si="3"/>
        <v>Spełnia</v>
      </c>
      <c r="M70" s="248" t="str">
        <f t="shared" si="3"/>
        <v>Spełnia</v>
      </c>
      <c r="N70" s="248" t="str">
        <f t="shared" si="3"/>
        <v>Spełnia</v>
      </c>
      <c r="O70" s="248" t="str">
        <f t="shared" si="3"/>
        <v>Spełnia</v>
      </c>
      <c r="P70" s="248" t="str">
        <f t="shared" si="3"/>
        <v>Spełnia</v>
      </c>
      <c r="Q70" s="248" t="str">
        <f t="shared" si="3"/>
        <v>Spełnia</v>
      </c>
      <c r="R70" s="248" t="str">
        <f t="shared" si="3"/>
        <v>Spełnia</v>
      </c>
      <c r="S70" s="248" t="str">
        <f t="shared" si="3"/>
        <v>Spełnia</v>
      </c>
      <c r="T70" s="248" t="str">
        <f t="shared" si="3"/>
        <v>Spełnia</v>
      </c>
      <c r="U70" s="248" t="str">
        <f t="shared" si="3"/>
        <v>Spełnia</v>
      </c>
      <c r="V70" s="248" t="str">
        <f t="shared" si="3"/>
        <v>Spełnia</v>
      </c>
      <c r="W70" s="248" t="str">
        <f t="shared" si="3"/>
        <v>Spełnia</v>
      </c>
      <c r="X70" s="248" t="str">
        <f t="shared" si="3"/>
        <v>Spełnia</v>
      </c>
      <c r="Y70" s="248" t="str">
        <f t="shared" si="3"/>
        <v>Spełnia</v>
      </c>
      <c r="Z70" s="248" t="str">
        <f t="shared" si="3"/>
        <v>Spełnia</v>
      </c>
      <c r="AA70" s="248" t="str">
        <f t="shared" si="3"/>
        <v>Spełnia</v>
      </c>
      <c r="AB70" s="248" t="str">
        <f t="shared" si="3"/>
        <v>Spełnia</v>
      </c>
      <c r="AC70" s="248" t="str">
        <f t="shared" si="3"/>
        <v>Spełnia</v>
      </c>
      <c r="AD70" s="248" t="str">
        <f t="shared" si="3"/>
        <v>Spełnia</v>
      </c>
      <c r="AE70" s="248" t="str">
        <f t="shared" si="3"/>
        <v>Spełnia</v>
      </c>
      <c r="AF70" s="248" t="str">
        <f t="shared" si="3"/>
        <v>Spełnia</v>
      </c>
      <c r="AG70" s="248" t="str">
        <f t="shared" si="3"/>
        <v>Spełnia</v>
      </c>
    </row>
    <row r="71" spans="1:33" ht="25.5">
      <c r="A71" s="111" t="s">
        <v>264</v>
      </c>
      <c r="B71" s="112" t="s">
        <v>293</v>
      </c>
      <c r="C71" s="250" t="str">
        <f>+IF(C69&lt;=C65,"Spełnia","Nie spełnia")</f>
        <v>Nie spełnia</v>
      </c>
      <c r="D71" s="250" t="str">
        <f aca="true" t="shared" si="4" ref="D71:AG71">+IF(D69&lt;=D65,"Spełnia","Nie spełnia")</f>
        <v>Spełnia</v>
      </c>
      <c r="E71" s="250" t="str">
        <f t="shared" si="4"/>
        <v>Spełnia</v>
      </c>
      <c r="F71" s="250" t="str">
        <f t="shared" si="4"/>
        <v>Spełnia</v>
      </c>
      <c r="G71" s="250" t="str">
        <f t="shared" si="4"/>
        <v>Spełnia</v>
      </c>
      <c r="H71" s="250" t="str">
        <f t="shared" si="4"/>
        <v>Spełnia</v>
      </c>
      <c r="I71" s="250" t="str">
        <f t="shared" si="4"/>
        <v>Spełnia</v>
      </c>
      <c r="J71" s="250" t="str">
        <f t="shared" si="4"/>
        <v>Spełnia</v>
      </c>
      <c r="K71" s="250" t="str">
        <f t="shared" si="4"/>
        <v>Spełnia</v>
      </c>
      <c r="L71" s="250" t="str">
        <f t="shared" si="4"/>
        <v>Spełnia</v>
      </c>
      <c r="M71" s="250" t="str">
        <f t="shared" si="4"/>
        <v>Spełnia</v>
      </c>
      <c r="N71" s="250" t="str">
        <f t="shared" si="4"/>
        <v>Spełnia</v>
      </c>
      <c r="O71" s="250" t="str">
        <f t="shared" si="4"/>
        <v>Spełnia</v>
      </c>
      <c r="P71" s="250" t="str">
        <f t="shared" si="4"/>
        <v>Spełnia</v>
      </c>
      <c r="Q71" s="250" t="str">
        <f t="shared" si="4"/>
        <v>Spełnia</v>
      </c>
      <c r="R71" s="250" t="str">
        <f t="shared" si="4"/>
        <v>Spełnia</v>
      </c>
      <c r="S71" s="250" t="str">
        <f t="shared" si="4"/>
        <v>Spełnia</v>
      </c>
      <c r="T71" s="250" t="str">
        <f t="shared" si="4"/>
        <v>Spełnia</v>
      </c>
      <c r="U71" s="250" t="str">
        <f t="shared" si="4"/>
        <v>Spełnia</v>
      </c>
      <c r="V71" s="250" t="str">
        <f t="shared" si="4"/>
        <v>Spełnia</v>
      </c>
      <c r="W71" s="250" t="str">
        <f t="shared" si="4"/>
        <v>Spełnia</v>
      </c>
      <c r="X71" s="250" t="str">
        <f t="shared" si="4"/>
        <v>Spełnia</v>
      </c>
      <c r="Y71" s="250" t="str">
        <f t="shared" si="4"/>
        <v>Spełnia</v>
      </c>
      <c r="Z71" s="250" t="str">
        <f t="shared" si="4"/>
        <v>Spełnia</v>
      </c>
      <c r="AA71" s="250" t="str">
        <f t="shared" si="4"/>
        <v>Spełnia</v>
      </c>
      <c r="AB71" s="250" t="str">
        <f t="shared" si="4"/>
        <v>Spełnia</v>
      </c>
      <c r="AC71" s="250" t="str">
        <f t="shared" si="4"/>
        <v>Spełnia</v>
      </c>
      <c r="AD71" s="250" t="str">
        <f t="shared" si="4"/>
        <v>Spełnia</v>
      </c>
      <c r="AE71" s="250" t="str">
        <f t="shared" si="4"/>
        <v>Spełnia</v>
      </c>
      <c r="AF71" s="250" t="str">
        <f t="shared" si="4"/>
        <v>Spełnia</v>
      </c>
      <c r="AG71" s="250" t="str">
        <f t="shared" si="4"/>
        <v>Spełnia</v>
      </c>
    </row>
    <row r="72" spans="1:33" s="286" customFormat="1" ht="15">
      <c r="A72" s="113">
        <v>23</v>
      </c>
      <c r="B72" s="114" t="s">
        <v>59</v>
      </c>
      <c r="C72" s="285">
        <f>30469412</f>
        <v>30469412</v>
      </c>
      <c r="D72" s="285">
        <f>30568535</f>
        <v>30568535</v>
      </c>
      <c r="E72" s="285">
        <f>31057274</f>
        <v>31057274</v>
      </c>
      <c r="F72" s="285">
        <f>32115177</f>
        <v>32115177</v>
      </c>
      <c r="G72" s="285">
        <f>32550241</f>
        <v>32550241</v>
      </c>
      <c r="H72" s="285">
        <f>33878223</f>
        <v>33878223</v>
      </c>
      <c r="I72" s="285">
        <f>34994570</f>
        <v>34994570</v>
      </c>
      <c r="J72" s="285">
        <f>35241407</f>
        <v>35241407</v>
      </c>
      <c r="K72" s="285">
        <f>37019649</f>
        <v>37019649</v>
      </c>
      <c r="L72" s="285">
        <f>38130238</f>
        <v>38130238</v>
      </c>
      <c r="M72" s="285">
        <f>0</f>
        <v>0</v>
      </c>
      <c r="N72" s="285">
        <f>0</f>
        <v>0</v>
      </c>
      <c r="O72" s="285">
        <f>0</f>
        <v>0</v>
      </c>
      <c r="P72" s="285">
        <f>0</f>
        <v>0</v>
      </c>
      <c r="Q72" s="285">
        <f>0</f>
        <v>0</v>
      </c>
      <c r="R72" s="285">
        <f>0</f>
        <v>0</v>
      </c>
      <c r="S72" s="285">
        <f>0</f>
        <v>0</v>
      </c>
      <c r="T72" s="285">
        <f>0</f>
        <v>0</v>
      </c>
      <c r="U72" s="285">
        <f>0</f>
        <v>0</v>
      </c>
      <c r="V72" s="285">
        <f>0</f>
        <v>0</v>
      </c>
      <c r="W72" s="285">
        <f>0</f>
        <v>0</v>
      </c>
      <c r="X72" s="285">
        <f>0</f>
        <v>0</v>
      </c>
      <c r="Y72" s="285">
        <f>0</f>
        <v>0</v>
      </c>
      <c r="Z72" s="285">
        <f>0</f>
        <v>0</v>
      </c>
      <c r="AA72" s="285">
        <f>0</f>
        <v>0</v>
      </c>
      <c r="AB72" s="285">
        <f>0</f>
        <v>0</v>
      </c>
      <c r="AC72" s="285">
        <f>0</f>
        <v>0</v>
      </c>
      <c r="AD72" s="285">
        <f>0</f>
        <v>0</v>
      </c>
      <c r="AE72" s="285">
        <f>0</f>
        <v>0</v>
      </c>
      <c r="AF72" s="285">
        <f>0</f>
        <v>0</v>
      </c>
      <c r="AG72" s="285">
        <f>0</f>
        <v>0</v>
      </c>
    </row>
    <row r="73" spans="1:33" s="286" customFormat="1" ht="15">
      <c r="A73" s="97">
        <v>24</v>
      </c>
      <c r="B73" s="98" t="s">
        <v>294</v>
      </c>
      <c r="C73" s="287">
        <f>26930366</f>
        <v>26930366</v>
      </c>
      <c r="D73" s="287">
        <f>27651737</f>
        <v>27651737</v>
      </c>
      <c r="E73" s="287">
        <f>29036008</f>
        <v>29036008</v>
      </c>
      <c r="F73" s="287">
        <f>29508344</f>
        <v>29508344</v>
      </c>
      <c r="G73" s="287">
        <f>30366241</f>
        <v>30366241</v>
      </c>
      <c r="H73" s="287">
        <f>31221747</f>
        <v>31221747</v>
      </c>
      <c r="I73" s="287">
        <f>31702291</f>
        <v>31702291</v>
      </c>
      <c r="J73" s="287">
        <f>33131348</f>
        <v>33131348</v>
      </c>
      <c r="K73" s="287">
        <f>33556802</f>
        <v>33556802</v>
      </c>
      <c r="L73" s="287">
        <f>34328608</f>
        <v>34328608</v>
      </c>
      <c r="M73" s="287">
        <f>0</f>
        <v>0</v>
      </c>
      <c r="N73" s="287">
        <f>0</f>
        <v>0</v>
      </c>
      <c r="O73" s="287">
        <f>0</f>
        <v>0</v>
      </c>
      <c r="P73" s="287">
        <f>0</f>
        <v>0</v>
      </c>
      <c r="Q73" s="287">
        <f>0</f>
        <v>0</v>
      </c>
      <c r="R73" s="287">
        <f>0</f>
        <v>0</v>
      </c>
      <c r="S73" s="287">
        <f>0</f>
        <v>0</v>
      </c>
      <c r="T73" s="287">
        <f>0</f>
        <v>0</v>
      </c>
      <c r="U73" s="287">
        <f>0</f>
        <v>0</v>
      </c>
      <c r="V73" s="287">
        <f>0</f>
        <v>0</v>
      </c>
      <c r="W73" s="287">
        <f>0</f>
        <v>0</v>
      </c>
      <c r="X73" s="287">
        <f>0</f>
        <v>0</v>
      </c>
      <c r="Y73" s="287">
        <f>0</f>
        <v>0</v>
      </c>
      <c r="Z73" s="287">
        <f>0</f>
        <v>0</v>
      </c>
      <c r="AA73" s="287">
        <f>0</f>
        <v>0</v>
      </c>
      <c r="AB73" s="287">
        <f>0</f>
        <v>0</v>
      </c>
      <c r="AC73" s="287">
        <f>0</f>
        <v>0</v>
      </c>
      <c r="AD73" s="287">
        <f>0</f>
        <v>0</v>
      </c>
      <c r="AE73" s="287">
        <f>0</f>
        <v>0</v>
      </c>
      <c r="AF73" s="287">
        <f>0</f>
        <v>0</v>
      </c>
      <c r="AG73" s="287">
        <f>0</f>
        <v>0</v>
      </c>
    </row>
    <row r="74" spans="1:33" s="286" customFormat="1" ht="15">
      <c r="A74" s="111">
        <v>25</v>
      </c>
      <c r="B74" s="115" t="s">
        <v>48</v>
      </c>
      <c r="C74" s="288">
        <f>3539046</f>
        <v>3539046</v>
      </c>
      <c r="D74" s="288">
        <f>2916798</f>
        <v>2916798</v>
      </c>
      <c r="E74" s="288">
        <f>2021266</f>
        <v>2021266</v>
      </c>
      <c r="F74" s="288">
        <f>2606833</f>
        <v>2606833</v>
      </c>
      <c r="G74" s="288">
        <f>2184000</f>
        <v>2184000</v>
      </c>
      <c r="H74" s="288">
        <f>2656476</f>
        <v>2656476</v>
      </c>
      <c r="I74" s="288">
        <f>3292279</f>
        <v>3292279</v>
      </c>
      <c r="J74" s="288">
        <f>2110059</f>
        <v>2110059</v>
      </c>
      <c r="K74" s="288">
        <f>3462847</f>
        <v>3462847</v>
      </c>
      <c r="L74" s="288">
        <f>3801630</f>
        <v>3801630</v>
      </c>
      <c r="M74" s="288">
        <f>0</f>
        <v>0</v>
      </c>
      <c r="N74" s="288">
        <f>0</f>
        <v>0</v>
      </c>
      <c r="O74" s="288">
        <f>0</f>
        <v>0</v>
      </c>
      <c r="P74" s="288">
        <f>0</f>
        <v>0</v>
      </c>
      <c r="Q74" s="288">
        <f>0</f>
        <v>0</v>
      </c>
      <c r="R74" s="288">
        <f>0</f>
        <v>0</v>
      </c>
      <c r="S74" s="288">
        <f>0</f>
        <v>0</v>
      </c>
      <c r="T74" s="288">
        <f>0</f>
        <v>0</v>
      </c>
      <c r="U74" s="288">
        <f>0</f>
        <v>0</v>
      </c>
      <c r="V74" s="288">
        <f>0</f>
        <v>0</v>
      </c>
      <c r="W74" s="288">
        <f>0</f>
        <v>0</v>
      </c>
      <c r="X74" s="288">
        <f>0</f>
        <v>0</v>
      </c>
      <c r="Y74" s="288">
        <f>0</f>
        <v>0</v>
      </c>
      <c r="Z74" s="288">
        <f>0</f>
        <v>0</v>
      </c>
      <c r="AA74" s="288">
        <f>0</f>
        <v>0</v>
      </c>
      <c r="AB74" s="288">
        <f>0</f>
        <v>0</v>
      </c>
      <c r="AC74" s="288">
        <f>0</f>
        <v>0</v>
      </c>
      <c r="AD74" s="288">
        <f>0</f>
        <v>0</v>
      </c>
      <c r="AE74" s="288">
        <f>0</f>
        <v>0</v>
      </c>
      <c r="AF74" s="288">
        <f>0</f>
        <v>0</v>
      </c>
      <c r="AG74" s="288">
        <f>0</f>
        <v>0</v>
      </c>
    </row>
    <row r="75" spans="1:33" s="286" customFormat="1" ht="15">
      <c r="A75" s="113">
        <v>26</v>
      </c>
      <c r="B75" s="114" t="s">
        <v>58</v>
      </c>
      <c r="C75" s="285">
        <f>32171429</f>
        <v>32171429</v>
      </c>
      <c r="D75" s="285">
        <f>31237363</f>
        <v>31237363</v>
      </c>
      <c r="E75" s="285">
        <f>31567274</f>
        <v>31567274</v>
      </c>
      <c r="F75" s="285">
        <f>34049571</f>
        <v>34049571</v>
      </c>
      <c r="G75" s="285">
        <f>33060241</f>
        <v>33060241</v>
      </c>
      <c r="H75" s="285">
        <f>33878223</f>
        <v>33878223</v>
      </c>
      <c r="I75" s="285">
        <f>34994570</f>
        <v>34994570</v>
      </c>
      <c r="J75" s="285">
        <f>35241407</f>
        <v>35241407</v>
      </c>
      <c r="K75" s="285">
        <f>37019649</f>
        <v>37019649</v>
      </c>
      <c r="L75" s="285">
        <f>38130238</f>
        <v>38130238</v>
      </c>
      <c r="M75" s="285">
        <f>0</f>
        <v>0</v>
      </c>
      <c r="N75" s="285">
        <f>0</f>
        <v>0</v>
      </c>
      <c r="O75" s="285">
        <f>0</f>
        <v>0</v>
      </c>
      <c r="P75" s="285">
        <f>0</f>
        <v>0</v>
      </c>
      <c r="Q75" s="285">
        <f>0</f>
        <v>0</v>
      </c>
      <c r="R75" s="285">
        <f>0</f>
        <v>0</v>
      </c>
      <c r="S75" s="285">
        <f>0</f>
        <v>0</v>
      </c>
      <c r="T75" s="285">
        <f>0</f>
        <v>0</v>
      </c>
      <c r="U75" s="285">
        <f>0</f>
        <v>0</v>
      </c>
      <c r="V75" s="285">
        <f>0</f>
        <v>0</v>
      </c>
      <c r="W75" s="285">
        <f>0</f>
        <v>0</v>
      </c>
      <c r="X75" s="285">
        <f>0</f>
        <v>0</v>
      </c>
      <c r="Y75" s="285">
        <f>0</f>
        <v>0</v>
      </c>
      <c r="Z75" s="285">
        <f>0</f>
        <v>0</v>
      </c>
      <c r="AA75" s="285">
        <f>0</f>
        <v>0</v>
      </c>
      <c r="AB75" s="285">
        <f>0</f>
        <v>0</v>
      </c>
      <c r="AC75" s="285">
        <f>0</f>
        <v>0</v>
      </c>
      <c r="AD75" s="285">
        <f>0</f>
        <v>0</v>
      </c>
      <c r="AE75" s="285">
        <f>0</f>
        <v>0</v>
      </c>
      <c r="AF75" s="285">
        <f>0</f>
        <v>0</v>
      </c>
      <c r="AG75" s="285">
        <f>0</f>
        <v>0</v>
      </c>
    </row>
    <row r="76" spans="1:33" s="286" customFormat="1" ht="15">
      <c r="A76" s="97">
        <v>27</v>
      </c>
      <c r="B76" s="98" t="s">
        <v>45</v>
      </c>
      <c r="C76" s="287">
        <f>31540829</f>
        <v>31540829</v>
      </c>
      <c r="D76" s="287">
        <f>30862737</f>
        <v>30862737</v>
      </c>
      <c r="E76" s="287">
        <f>31156008</f>
        <v>31156008</v>
      </c>
      <c r="F76" s="287">
        <f>33611274</f>
        <v>33611274</v>
      </c>
      <c r="G76" s="287">
        <f>31366241</f>
        <v>31366241</v>
      </c>
      <c r="H76" s="287">
        <f>31928223</f>
        <v>31928223</v>
      </c>
      <c r="I76" s="287">
        <f>32544570</f>
        <v>32544570</v>
      </c>
      <c r="J76" s="287">
        <f>34741407</f>
        <v>34741407</v>
      </c>
      <c r="K76" s="287">
        <f>34453073</f>
        <v>34453073</v>
      </c>
      <c r="L76" s="287">
        <f>36436603</f>
        <v>36436603</v>
      </c>
      <c r="M76" s="287">
        <f>0</f>
        <v>0</v>
      </c>
      <c r="N76" s="287">
        <f>0</f>
        <v>0</v>
      </c>
      <c r="O76" s="287">
        <f>0</f>
        <v>0</v>
      </c>
      <c r="P76" s="287">
        <f>0</f>
        <v>0</v>
      </c>
      <c r="Q76" s="287">
        <f>0</f>
        <v>0</v>
      </c>
      <c r="R76" s="287">
        <f>0</f>
        <v>0</v>
      </c>
      <c r="S76" s="287">
        <f>0</f>
        <v>0</v>
      </c>
      <c r="T76" s="287">
        <f>0</f>
        <v>0</v>
      </c>
      <c r="U76" s="287">
        <f>0</f>
        <v>0</v>
      </c>
      <c r="V76" s="287">
        <f>0</f>
        <v>0</v>
      </c>
      <c r="W76" s="287">
        <f>0</f>
        <v>0</v>
      </c>
      <c r="X76" s="287">
        <f>0</f>
        <v>0</v>
      </c>
      <c r="Y76" s="287">
        <f>0</f>
        <v>0</v>
      </c>
      <c r="Z76" s="287">
        <f>0</f>
        <v>0</v>
      </c>
      <c r="AA76" s="287">
        <f>0</f>
        <v>0</v>
      </c>
      <c r="AB76" s="287">
        <f>0</f>
        <v>0</v>
      </c>
      <c r="AC76" s="287">
        <f>0</f>
        <v>0</v>
      </c>
      <c r="AD76" s="287">
        <f>0</f>
        <v>0</v>
      </c>
      <c r="AE76" s="287">
        <f>0</f>
        <v>0</v>
      </c>
      <c r="AF76" s="287">
        <f>0</f>
        <v>0</v>
      </c>
      <c r="AG76" s="287">
        <f>0</f>
        <v>0</v>
      </c>
    </row>
    <row r="77" spans="1:33" s="286" customFormat="1" ht="15">
      <c r="A77" s="111">
        <v>28</v>
      </c>
      <c r="B77" s="115" t="s">
        <v>47</v>
      </c>
      <c r="C77" s="288">
        <f>630600</f>
        <v>630600</v>
      </c>
      <c r="D77" s="288">
        <f>374626</f>
        <v>374626</v>
      </c>
      <c r="E77" s="288">
        <f>411266</f>
        <v>411266</v>
      </c>
      <c r="F77" s="288">
        <f>438297</f>
        <v>438297</v>
      </c>
      <c r="G77" s="288">
        <f>1694000</f>
        <v>1694000</v>
      </c>
      <c r="H77" s="288">
        <f>1950000</f>
        <v>1950000</v>
      </c>
      <c r="I77" s="288">
        <f>2450000</f>
        <v>2450000</v>
      </c>
      <c r="J77" s="288">
        <f>500000</f>
        <v>500000</v>
      </c>
      <c r="K77" s="288">
        <f>2566576</f>
        <v>2566576</v>
      </c>
      <c r="L77" s="288">
        <f>1693635</f>
        <v>1693635</v>
      </c>
      <c r="M77" s="288">
        <f>0</f>
        <v>0</v>
      </c>
      <c r="N77" s="288">
        <f>0</f>
        <v>0</v>
      </c>
      <c r="O77" s="288">
        <f>0</f>
        <v>0</v>
      </c>
      <c r="P77" s="288">
        <f>0</f>
        <v>0</v>
      </c>
      <c r="Q77" s="288">
        <f>0</f>
        <v>0</v>
      </c>
      <c r="R77" s="288">
        <f>0</f>
        <v>0</v>
      </c>
      <c r="S77" s="288">
        <f>0</f>
        <v>0</v>
      </c>
      <c r="T77" s="288">
        <f>0</f>
        <v>0</v>
      </c>
      <c r="U77" s="288">
        <f>0</f>
        <v>0</v>
      </c>
      <c r="V77" s="288">
        <f>0</f>
        <v>0</v>
      </c>
      <c r="W77" s="288">
        <f>0</f>
        <v>0</v>
      </c>
      <c r="X77" s="288">
        <f>0</f>
        <v>0</v>
      </c>
      <c r="Y77" s="288">
        <f>0</f>
        <v>0</v>
      </c>
      <c r="Z77" s="288">
        <f>0</f>
        <v>0</v>
      </c>
      <c r="AA77" s="288">
        <f>0</f>
        <v>0</v>
      </c>
      <c r="AB77" s="288">
        <f>0</f>
        <v>0</v>
      </c>
      <c r="AC77" s="288">
        <f>0</f>
        <v>0</v>
      </c>
      <c r="AD77" s="288">
        <f>0</f>
        <v>0</v>
      </c>
      <c r="AE77" s="288">
        <f>0</f>
        <v>0</v>
      </c>
      <c r="AF77" s="288">
        <f>0</f>
        <v>0</v>
      </c>
      <c r="AG77" s="288">
        <f>0</f>
        <v>0</v>
      </c>
    </row>
    <row r="78" spans="1:33" s="286" customFormat="1" ht="15">
      <c r="A78" s="113">
        <v>29</v>
      </c>
      <c r="B78" s="114" t="s">
        <v>49</v>
      </c>
      <c r="C78" s="285">
        <f>3040000</f>
        <v>3040000</v>
      </c>
      <c r="D78" s="285">
        <f>406374</f>
        <v>406374</v>
      </c>
      <c r="E78" s="285">
        <f>985634</f>
        <v>985634</v>
      </c>
      <c r="F78" s="285">
        <f>1061703</f>
        <v>1061703</v>
      </c>
      <c r="G78" s="285">
        <f>0</f>
        <v>0</v>
      </c>
      <c r="H78" s="285">
        <f>0</f>
        <v>0</v>
      </c>
      <c r="I78" s="285">
        <f>0</f>
        <v>0</v>
      </c>
      <c r="J78" s="285">
        <f>0</f>
        <v>0</v>
      </c>
      <c r="K78" s="285">
        <f>0</f>
        <v>0</v>
      </c>
      <c r="L78" s="285">
        <f>0</f>
        <v>0</v>
      </c>
      <c r="M78" s="285">
        <f>0</f>
        <v>0</v>
      </c>
      <c r="N78" s="285">
        <f>0</f>
        <v>0</v>
      </c>
      <c r="O78" s="285">
        <f>0</f>
        <v>0</v>
      </c>
      <c r="P78" s="285">
        <f>0</f>
        <v>0</v>
      </c>
      <c r="Q78" s="285">
        <f>0</f>
        <v>0</v>
      </c>
      <c r="R78" s="285">
        <f>0</f>
        <v>0</v>
      </c>
      <c r="S78" s="285">
        <f>0</f>
        <v>0</v>
      </c>
      <c r="T78" s="285">
        <f>0</f>
        <v>0</v>
      </c>
      <c r="U78" s="285">
        <f>0</f>
        <v>0</v>
      </c>
      <c r="V78" s="285">
        <f>0</f>
        <v>0</v>
      </c>
      <c r="W78" s="285">
        <f>0</f>
        <v>0</v>
      </c>
      <c r="X78" s="285">
        <f>0</f>
        <v>0</v>
      </c>
      <c r="Y78" s="285">
        <f>0</f>
        <v>0</v>
      </c>
      <c r="Z78" s="285">
        <f>0</f>
        <v>0</v>
      </c>
      <c r="AA78" s="285">
        <f>0</f>
        <v>0</v>
      </c>
      <c r="AB78" s="285">
        <f>0</f>
        <v>0</v>
      </c>
      <c r="AC78" s="285">
        <f>0</f>
        <v>0</v>
      </c>
      <c r="AD78" s="285">
        <f>0</f>
        <v>0</v>
      </c>
      <c r="AE78" s="285">
        <f>0</f>
        <v>0</v>
      </c>
      <c r="AF78" s="285">
        <f>0</f>
        <v>0</v>
      </c>
      <c r="AG78" s="285">
        <f>0</f>
        <v>0</v>
      </c>
    </row>
    <row r="79" spans="1:33" s="286" customFormat="1" ht="15">
      <c r="A79" s="111">
        <v>30</v>
      </c>
      <c r="B79" s="251" t="s">
        <v>295</v>
      </c>
      <c r="C79" s="288">
        <f>3670600</f>
        <v>3670600</v>
      </c>
      <c r="D79" s="288">
        <f>781000</f>
        <v>781000</v>
      </c>
      <c r="E79" s="288">
        <f>1396900</f>
        <v>1396900</v>
      </c>
      <c r="F79" s="288">
        <f>1500000</f>
        <v>1500000</v>
      </c>
      <c r="G79" s="288">
        <f>1694000</f>
        <v>1694000</v>
      </c>
      <c r="H79" s="288">
        <f>1950000</f>
        <v>1950000</v>
      </c>
      <c r="I79" s="288">
        <f>2450000</f>
        <v>2450000</v>
      </c>
      <c r="J79" s="288">
        <f>500000</f>
        <v>500000</v>
      </c>
      <c r="K79" s="288">
        <f>2566576</f>
        <v>2566576</v>
      </c>
      <c r="L79" s="288">
        <f>1693635</f>
        <v>1693635</v>
      </c>
      <c r="M79" s="288">
        <f>0</f>
        <v>0</v>
      </c>
      <c r="N79" s="288">
        <f>0</f>
        <v>0</v>
      </c>
      <c r="O79" s="288">
        <f>0</f>
        <v>0</v>
      </c>
      <c r="P79" s="288">
        <f>0</f>
        <v>0</v>
      </c>
      <c r="Q79" s="288">
        <f>0</f>
        <v>0</v>
      </c>
      <c r="R79" s="288">
        <f>0</f>
        <v>0</v>
      </c>
      <c r="S79" s="288">
        <f>0</f>
        <v>0</v>
      </c>
      <c r="T79" s="288">
        <f>0</f>
        <v>0</v>
      </c>
      <c r="U79" s="288">
        <f>0</f>
        <v>0</v>
      </c>
      <c r="V79" s="288">
        <f>0</f>
        <v>0</v>
      </c>
      <c r="W79" s="288">
        <f>0</f>
        <v>0</v>
      </c>
      <c r="X79" s="288">
        <f>0</f>
        <v>0</v>
      </c>
      <c r="Y79" s="288">
        <f>0</f>
        <v>0</v>
      </c>
      <c r="Z79" s="288">
        <f>0</f>
        <v>0</v>
      </c>
      <c r="AA79" s="288">
        <f>0</f>
        <v>0</v>
      </c>
      <c r="AB79" s="288">
        <f>0</f>
        <v>0</v>
      </c>
      <c r="AC79" s="288">
        <f>0</f>
        <v>0</v>
      </c>
      <c r="AD79" s="288">
        <f>0</f>
        <v>0</v>
      </c>
      <c r="AE79" s="288">
        <f>0</f>
        <v>0</v>
      </c>
      <c r="AF79" s="288">
        <f>0</f>
        <v>0</v>
      </c>
      <c r="AG79" s="288">
        <f>0</f>
        <v>0</v>
      </c>
    </row>
    <row r="80" spans="1:31" ht="14.25">
      <c r="A80" s="2"/>
      <c r="B80" s="3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4.25">
      <c r="A81" s="2"/>
      <c r="B81" s="31" t="s">
        <v>86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2:31" ht="14.25">
      <c r="B82" s="31" t="s">
        <v>135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</row>
    <row r="83" spans="3:31" ht="14.25"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</row>
    <row r="84" spans="3:31" ht="14.25"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</row>
    <row r="85" spans="3:31" ht="14.25"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</row>
  </sheetData>
  <sheetProtection/>
  <printOptions horizontalCentered="1"/>
  <pageMargins left="0.31496062992125984" right="0.31496062992125984" top="0.35433070866141736" bottom="0.15748031496062992" header="0.31496062992125984" footer="0.15748031496062992"/>
  <pageSetup blackAndWhite="1" fitToHeight="1" fitToWidth="1" horizontalDpi="300" verticalDpi="300" orientation="landscape" paperSize="9" scale="44" r:id="rId1"/>
  <headerFooter>
    <oddHeader>&amp;C&amp;14Wieloletnia Prognoza Finansowa na lata 2013-2022&amp;R&amp;12Załacznik Nr 1</oddHeader>
  </headerFooter>
  <rowBreaks count="2" manualBreakCount="2">
    <brk id="38" max="11" man="1"/>
    <brk id="62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>
    <tabColor rgb="FF002060"/>
  </sheetPr>
  <dimension ref="A1:O399"/>
  <sheetViews>
    <sheetView zoomScalePageLayoutView="0" workbookViewId="0" topLeftCell="A1">
      <selection activeCell="O4" sqref="O4:O399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16" t="s">
        <v>56</v>
      </c>
      <c r="L1" s="30" t="s">
        <v>83</v>
      </c>
      <c r="M1" s="78">
        <f>MIN(L:L)</f>
        <v>2013</v>
      </c>
    </row>
    <row r="3" spans="1:15" ht="15" thickBot="1">
      <c r="A3" s="27" t="s">
        <v>26</v>
      </c>
      <c r="B3" s="28" t="s">
        <v>27</v>
      </c>
      <c r="C3" s="28" t="s">
        <v>28</v>
      </c>
      <c r="D3" s="28" t="s">
        <v>29</v>
      </c>
      <c r="E3" s="28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8" t="s">
        <v>36</v>
      </c>
      <c r="L3" s="28" t="s">
        <v>37</v>
      </c>
      <c r="M3" s="28" t="s">
        <v>38</v>
      </c>
      <c r="N3" s="28" t="s">
        <v>42</v>
      </c>
      <c r="O3" s="28" t="s">
        <v>43</v>
      </c>
    </row>
    <row r="4" spans="1:15" ht="14.25">
      <c r="A4" s="74">
        <v>2013</v>
      </c>
      <c r="B4" s="75" t="s">
        <v>390</v>
      </c>
      <c r="C4" s="75" t="s">
        <v>391</v>
      </c>
      <c r="D4" s="76">
        <v>1425062</v>
      </c>
      <c r="E4" s="76">
        <v>2</v>
      </c>
      <c r="F4" s="76"/>
      <c r="G4" s="75">
        <v>460</v>
      </c>
      <c r="H4" s="75" t="s">
        <v>345</v>
      </c>
      <c r="I4" s="76" t="s">
        <v>392</v>
      </c>
      <c r="J4" s="76" t="s">
        <v>288</v>
      </c>
      <c r="K4" s="76" t="b">
        <v>1</v>
      </c>
      <c r="L4" s="72">
        <v>2018</v>
      </c>
      <c r="M4" s="73">
        <v>0.0649</v>
      </c>
      <c r="N4" s="77">
        <v>41222</v>
      </c>
      <c r="O4" s="77">
        <v>41275</v>
      </c>
    </row>
    <row r="5" spans="1:15" ht="14.25">
      <c r="A5" s="74">
        <v>2013</v>
      </c>
      <c r="B5" s="75" t="s">
        <v>390</v>
      </c>
      <c r="C5" s="75" t="s">
        <v>391</v>
      </c>
      <c r="D5" s="76">
        <v>1425062</v>
      </c>
      <c r="E5" s="76">
        <v>2</v>
      </c>
      <c r="F5" s="76"/>
      <c r="G5" s="75">
        <v>520</v>
      </c>
      <c r="H5" s="75">
        <v>25</v>
      </c>
      <c r="I5" s="76" t="s">
        <v>393</v>
      </c>
      <c r="J5" s="76" t="s">
        <v>48</v>
      </c>
      <c r="K5" s="76" t="b">
        <v>1</v>
      </c>
      <c r="L5" s="72">
        <v>2017</v>
      </c>
      <c r="M5" s="73">
        <v>2184000</v>
      </c>
      <c r="N5" s="77">
        <v>41222</v>
      </c>
      <c r="O5" s="77">
        <v>41275</v>
      </c>
    </row>
    <row r="6" spans="1:15" ht="14.25">
      <c r="A6" s="74">
        <v>2013</v>
      </c>
      <c r="B6" s="75" t="s">
        <v>390</v>
      </c>
      <c r="C6" s="75" t="s">
        <v>391</v>
      </c>
      <c r="D6" s="76">
        <v>1425062</v>
      </c>
      <c r="E6" s="76">
        <v>2</v>
      </c>
      <c r="F6" s="76"/>
      <c r="G6" s="75">
        <v>210</v>
      </c>
      <c r="H6" s="75" t="s">
        <v>112</v>
      </c>
      <c r="I6" s="76"/>
      <c r="J6" s="76" t="s">
        <v>274</v>
      </c>
      <c r="K6" s="76" t="b">
        <v>1</v>
      </c>
      <c r="L6" s="72">
        <v>2014</v>
      </c>
      <c r="M6" s="73">
        <v>781000</v>
      </c>
      <c r="N6" s="77">
        <v>41222</v>
      </c>
      <c r="O6" s="77">
        <v>41275</v>
      </c>
    </row>
    <row r="7" spans="1:15" ht="14.25">
      <c r="A7" s="74">
        <v>2013</v>
      </c>
      <c r="B7" s="75" t="s">
        <v>390</v>
      </c>
      <c r="C7" s="75" t="s">
        <v>391</v>
      </c>
      <c r="D7" s="76">
        <v>1425062</v>
      </c>
      <c r="E7" s="76">
        <v>2</v>
      </c>
      <c r="F7" s="76"/>
      <c r="G7" s="75">
        <v>450</v>
      </c>
      <c r="H7" s="75" t="s">
        <v>131</v>
      </c>
      <c r="I7" s="76" t="s">
        <v>394</v>
      </c>
      <c r="J7" s="76" t="s">
        <v>52</v>
      </c>
      <c r="K7" s="76" t="b">
        <v>0</v>
      </c>
      <c r="L7" s="72">
        <v>2019</v>
      </c>
      <c r="M7" s="73">
        <v>0.0737</v>
      </c>
      <c r="N7" s="77">
        <v>41222</v>
      </c>
      <c r="O7" s="77">
        <v>41275</v>
      </c>
    </row>
    <row r="8" spans="1:15" ht="14.25">
      <c r="A8" s="74">
        <v>2013</v>
      </c>
      <c r="B8" s="75" t="s">
        <v>390</v>
      </c>
      <c r="C8" s="75" t="s">
        <v>391</v>
      </c>
      <c r="D8" s="76">
        <v>1425062</v>
      </c>
      <c r="E8" s="76">
        <v>2</v>
      </c>
      <c r="F8" s="76"/>
      <c r="G8" s="75">
        <v>530</v>
      </c>
      <c r="H8" s="75">
        <v>26</v>
      </c>
      <c r="I8" s="76" t="s">
        <v>395</v>
      </c>
      <c r="J8" s="76" t="s">
        <v>58</v>
      </c>
      <c r="K8" s="76" t="b">
        <v>1</v>
      </c>
      <c r="L8" s="72">
        <v>2013</v>
      </c>
      <c r="M8" s="73">
        <v>32171429</v>
      </c>
      <c r="N8" s="77">
        <v>41222</v>
      </c>
      <c r="O8" s="77">
        <v>41275</v>
      </c>
    </row>
    <row r="9" spans="1:15" ht="14.25">
      <c r="A9" s="74">
        <v>2013</v>
      </c>
      <c r="B9" s="75" t="s">
        <v>390</v>
      </c>
      <c r="C9" s="75" t="s">
        <v>391</v>
      </c>
      <c r="D9" s="76">
        <v>1425062</v>
      </c>
      <c r="E9" s="76">
        <v>2</v>
      </c>
      <c r="F9" s="76"/>
      <c r="G9" s="75">
        <v>420</v>
      </c>
      <c r="H9" s="75">
        <v>19</v>
      </c>
      <c r="I9" s="76" t="s">
        <v>396</v>
      </c>
      <c r="J9" s="76" t="s">
        <v>72</v>
      </c>
      <c r="K9" s="76" t="b">
        <v>1</v>
      </c>
      <c r="L9" s="72">
        <v>2021</v>
      </c>
      <c r="M9" s="73">
        <v>0.0728</v>
      </c>
      <c r="N9" s="77">
        <v>41222</v>
      </c>
      <c r="O9" s="77">
        <v>41275</v>
      </c>
    </row>
    <row r="10" spans="1:15" ht="14.25">
      <c r="A10" s="74">
        <v>2013</v>
      </c>
      <c r="B10" s="75" t="s">
        <v>390</v>
      </c>
      <c r="C10" s="75" t="s">
        <v>391</v>
      </c>
      <c r="D10" s="76">
        <v>1425062</v>
      </c>
      <c r="E10" s="76">
        <v>2</v>
      </c>
      <c r="F10" s="76"/>
      <c r="G10" s="75">
        <v>491</v>
      </c>
      <c r="H10" s="75" t="s">
        <v>264</v>
      </c>
      <c r="I10" s="76" t="s">
        <v>397</v>
      </c>
      <c r="J10" s="76" t="s">
        <v>293</v>
      </c>
      <c r="K10" s="76" t="b">
        <v>0</v>
      </c>
      <c r="L10" s="72">
        <v>2015</v>
      </c>
      <c r="M10" s="73">
        <v>249</v>
      </c>
      <c r="N10" s="77">
        <v>41222</v>
      </c>
      <c r="O10" s="77">
        <v>41275</v>
      </c>
    </row>
    <row r="11" spans="1:15" ht="14.25">
      <c r="A11" s="74">
        <v>2013</v>
      </c>
      <c r="B11" s="75" t="s">
        <v>390</v>
      </c>
      <c r="C11" s="75" t="s">
        <v>391</v>
      </c>
      <c r="D11" s="76">
        <v>1425062</v>
      </c>
      <c r="E11" s="76">
        <v>2</v>
      </c>
      <c r="F11" s="76"/>
      <c r="G11" s="75">
        <v>230</v>
      </c>
      <c r="H11" s="75" t="s">
        <v>115</v>
      </c>
      <c r="I11" s="76"/>
      <c r="J11" s="76" t="s">
        <v>275</v>
      </c>
      <c r="K11" s="76" t="b">
        <v>1</v>
      </c>
      <c r="L11" s="72">
        <v>2015</v>
      </c>
      <c r="M11" s="73">
        <v>540000</v>
      </c>
      <c r="N11" s="77">
        <v>41222</v>
      </c>
      <c r="O11" s="77">
        <v>41275</v>
      </c>
    </row>
    <row r="12" spans="1:15" ht="14.25">
      <c r="A12" s="74">
        <v>2013</v>
      </c>
      <c r="B12" s="75" t="s">
        <v>390</v>
      </c>
      <c r="C12" s="75" t="s">
        <v>391</v>
      </c>
      <c r="D12" s="76">
        <v>1425062</v>
      </c>
      <c r="E12" s="76">
        <v>2</v>
      </c>
      <c r="F12" s="76"/>
      <c r="G12" s="75">
        <v>260</v>
      </c>
      <c r="H12" s="75">
        <v>9</v>
      </c>
      <c r="I12" s="76" t="s">
        <v>398</v>
      </c>
      <c r="J12" s="76" t="s">
        <v>118</v>
      </c>
      <c r="K12" s="76" t="b">
        <v>0</v>
      </c>
      <c r="L12" s="72">
        <v>2022</v>
      </c>
      <c r="M12" s="73">
        <v>2107995</v>
      </c>
      <c r="N12" s="77">
        <v>41222</v>
      </c>
      <c r="O12" s="77">
        <v>41275</v>
      </c>
    </row>
    <row r="13" spans="1:15" ht="14.25">
      <c r="A13" s="74">
        <v>2013</v>
      </c>
      <c r="B13" s="75" t="s">
        <v>390</v>
      </c>
      <c r="C13" s="75" t="s">
        <v>391</v>
      </c>
      <c r="D13" s="76">
        <v>1425062</v>
      </c>
      <c r="E13" s="76">
        <v>2</v>
      </c>
      <c r="F13" s="76"/>
      <c r="G13" s="75">
        <v>430</v>
      </c>
      <c r="H13" s="75" t="s">
        <v>129</v>
      </c>
      <c r="I13" s="76" t="s">
        <v>399</v>
      </c>
      <c r="J13" s="76" t="s">
        <v>74</v>
      </c>
      <c r="K13" s="76" t="b">
        <v>0</v>
      </c>
      <c r="L13" s="72">
        <v>2014</v>
      </c>
      <c r="M13" s="73">
        <v>0.0442</v>
      </c>
      <c r="N13" s="77">
        <v>41222</v>
      </c>
      <c r="O13" s="77">
        <v>41275</v>
      </c>
    </row>
    <row r="14" spans="1:15" ht="14.25">
      <c r="A14" s="74">
        <v>2013</v>
      </c>
      <c r="B14" s="75" t="s">
        <v>390</v>
      </c>
      <c r="C14" s="75" t="s">
        <v>391</v>
      </c>
      <c r="D14" s="76">
        <v>1425062</v>
      </c>
      <c r="E14" s="76">
        <v>2</v>
      </c>
      <c r="F14" s="76"/>
      <c r="G14" s="75">
        <v>7</v>
      </c>
      <c r="H14" s="75" t="s">
        <v>246</v>
      </c>
      <c r="I14" s="76"/>
      <c r="J14" s="76" t="s">
        <v>247</v>
      </c>
      <c r="K14" s="76" t="b">
        <v>1</v>
      </c>
      <c r="L14" s="72">
        <v>2015</v>
      </c>
      <c r="M14" s="73">
        <v>510000</v>
      </c>
      <c r="N14" s="77">
        <v>41222</v>
      </c>
      <c r="O14" s="77">
        <v>41275</v>
      </c>
    </row>
    <row r="15" spans="1:15" ht="14.25">
      <c r="A15" s="74">
        <v>2013</v>
      </c>
      <c r="B15" s="75" t="s">
        <v>390</v>
      </c>
      <c r="C15" s="75" t="s">
        <v>391</v>
      </c>
      <c r="D15" s="76">
        <v>1425062</v>
      </c>
      <c r="E15" s="76">
        <v>2</v>
      </c>
      <c r="F15" s="76"/>
      <c r="G15" s="75">
        <v>460</v>
      </c>
      <c r="H15" s="75">
        <v>21</v>
      </c>
      <c r="I15" s="76" t="s">
        <v>392</v>
      </c>
      <c r="J15" s="76" t="s">
        <v>288</v>
      </c>
      <c r="K15" s="76" t="b">
        <v>1</v>
      </c>
      <c r="L15" s="72">
        <v>2022</v>
      </c>
      <c r="M15" s="73">
        <v>0.0476</v>
      </c>
      <c r="N15" s="77">
        <v>41222</v>
      </c>
      <c r="O15" s="77">
        <v>41275</v>
      </c>
    </row>
    <row r="16" spans="1:15" ht="14.25">
      <c r="A16" s="74">
        <v>2013</v>
      </c>
      <c r="B16" s="75" t="s">
        <v>390</v>
      </c>
      <c r="C16" s="75" t="s">
        <v>391</v>
      </c>
      <c r="D16" s="76">
        <v>1425062</v>
      </c>
      <c r="E16" s="76">
        <v>2</v>
      </c>
      <c r="F16" s="76"/>
      <c r="G16" s="75">
        <v>240</v>
      </c>
      <c r="H16" s="75" t="s">
        <v>116</v>
      </c>
      <c r="I16" s="76"/>
      <c r="J16" s="76" t="s">
        <v>276</v>
      </c>
      <c r="K16" s="76" t="b">
        <v>1</v>
      </c>
      <c r="L16" s="72">
        <v>2018</v>
      </c>
      <c r="M16" s="73">
        <v>250000</v>
      </c>
      <c r="N16" s="77">
        <v>41222</v>
      </c>
      <c r="O16" s="77">
        <v>41275</v>
      </c>
    </row>
    <row r="17" spans="1:15" ht="14.25">
      <c r="A17" s="74">
        <v>2013</v>
      </c>
      <c r="B17" s="75" t="s">
        <v>390</v>
      </c>
      <c r="C17" s="75" t="s">
        <v>391</v>
      </c>
      <c r="D17" s="76">
        <v>1425062</v>
      </c>
      <c r="E17" s="76">
        <v>2</v>
      </c>
      <c r="F17" s="76"/>
      <c r="G17" s="75">
        <v>540</v>
      </c>
      <c r="H17" s="75">
        <v>27</v>
      </c>
      <c r="I17" s="76" t="s">
        <v>400</v>
      </c>
      <c r="J17" s="76" t="s">
        <v>45</v>
      </c>
      <c r="K17" s="76" t="b">
        <v>0</v>
      </c>
      <c r="L17" s="72">
        <v>2022</v>
      </c>
      <c r="M17" s="73">
        <v>36436603</v>
      </c>
      <c r="N17" s="77">
        <v>41222</v>
      </c>
      <c r="O17" s="77">
        <v>41275</v>
      </c>
    </row>
    <row r="18" spans="1:15" ht="14.25">
      <c r="A18" s="74">
        <v>2013</v>
      </c>
      <c r="B18" s="75" t="s">
        <v>390</v>
      </c>
      <c r="C18" s="75" t="s">
        <v>391</v>
      </c>
      <c r="D18" s="76">
        <v>1425062</v>
      </c>
      <c r="E18" s="76">
        <v>2</v>
      </c>
      <c r="F18" s="76"/>
      <c r="G18" s="75">
        <v>1</v>
      </c>
      <c r="H18" s="75">
        <v>1</v>
      </c>
      <c r="I18" s="76" t="s">
        <v>401</v>
      </c>
      <c r="J18" s="76" t="s">
        <v>91</v>
      </c>
      <c r="K18" s="76" t="b">
        <v>1</v>
      </c>
      <c r="L18" s="72">
        <v>2018</v>
      </c>
      <c r="M18" s="73">
        <v>33878223</v>
      </c>
      <c r="N18" s="77">
        <v>41222</v>
      </c>
      <c r="O18" s="77">
        <v>41275</v>
      </c>
    </row>
    <row r="19" spans="1:15" ht="14.25">
      <c r="A19" s="74">
        <v>2013</v>
      </c>
      <c r="B19" s="75" t="s">
        <v>390</v>
      </c>
      <c r="C19" s="75" t="s">
        <v>391</v>
      </c>
      <c r="D19" s="76">
        <v>1425062</v>
      </c>
      <c r="E19" s="76">
        <v>2</v>
      </c>
      <c r="F19" s="76"/>
      <c r="G19" s="75">
        <v>450</v>
      </c>
      <c r="H19" s="75" t="s">
        <v>131</v>
      </c>
      <c r="I19" s="76" t="s">
        <v>394</v>
      </c>
      <c r="J19" s="76" t="s">
        <v>52</v>
      </c>
      <c r="K19" s="76" t="b">
        <v>0</v>
      </c>
      <c r="L19" s="72">
        <v>2013</v>
      </c>
      <c r="M19" s="73">
        <v>0.0705</v>
      </c>
      <c r="N19" s="77">
        <v>41222</v>
      </c>
      <c r="O19" s="77">
        <v>41275</v>
      </c>
    </row>
    <row r="20" spans="1:15" ht="14.25">
      <c r="A20" s="74">
        <v>2013</v>
      </c>
      <c r="B20" s="75" t="s">
        <v>390</v>
      </c>
      <c r="C20" s="75" t="s">
        <v>391</v>
      </c>
      <c r="D20" s="76">
        <v>1425062</v>
      </c>
      <c r="E20" s="76">
        <v>2</v>
      </c>
      <c r="F20" s="76"/>
      <c r="G20" s="75">
        <v>451</v>
      </c>
      <c r="H20" s="75" t="s">
        <v>262</v>
      </c>
      <c r="I20" s="76" t="s">
        <v>394</v>
      </c>
      <c r="J20" s="76" t="s">
        <v>287</v>
      </c>
      <c r="K20" s="76" t="b">
        <v>0</v>
      </c>
      <c r="L20" s="72">
        <v>2018</v>
      </c>
      <c r="M20" s="73">
        <v>0.0689</v>
      </c>
      <c r="N20" s="77">
        <v>41222</v>
      </c>
      <c r="O20" s="77">
        <v>41275</v>
      </c>
    </row>
    <row r="21" spans="1:15" ht="14.25">
      <c r="A21" s="74">
        <v>2013</v>
      </c>
      <c r="B21" s="75" t="s">
        <v>390</v>
      </c>
      <c r="C21" s="75" t="s">
        <v>391</v>
      </c>
      <c r="D21" s="76">
        <v>1425062</v>
      </c>
      <c r="E21" s="76">
        <v>2</v>
      </c>
      <c r="F21" s="76"/>
      <c r="G21" s="75">
        <v>260</v>
      </c>
      <c r="H21" s="75">
        <v>9</v>
      </c>
      <c r="I21" s="76" t="s">
        <v>398</v>
      </c>
      <c r="J21" s="76" t="s">
        <v>118</v>
      </c>
      <c r="K21" s="76" t="b">
        <v>0</v>
      </c>
      <c r="L21" s="72">
        <v>2013</v>
      </c>
      <c r="M21" s="73">
        <v>1570463</v>
      </c>
      <c r="N21" s="77">
        <v>41222</v>
      </c>
      <c r="O21" s="77">
        <v>41275</v>
      </c>
    </row>
    <row r="22" spans="1:15" ht="14.25">
      <c r="A22" s="74">
        <v>2013</v>
      </c>
      <c r="B22" s="75" t="s">
        <v>390</v>
      </c>
      <c r="C22" s="75" t="s">
        <v>391</v>
      </c>
      <c r="D22" s="76">
        <v>1425062</v>
      </c>
      <c r="E22" s="76">
        <v>2</v>
      </c>
      <c r="F22" s="76"/>
      <c r="G22" s="75">
        <v>471</v>
      </c>
      <c r="H22" s="75" t="s">
        <v>263</v>
      </c>
      <c r="I22" s="76" t="s">
        <v>402</v>
      </c>
      <c r="J22" s="76" t="s">
        <v>290</v>
      </c>
      <c r="K22" s="76" t="b">
        <v>0</v>
      </c>
      <c r="L22" s="72">
        <v>2014</v>
      </c>
      <c r="M22" s="73">
        <v>277</v>
      </c>
      <c r="N22" s="77">
        <v>41222</v>
      </c>
      <c r="O22" s="77">
        <v>41275</v>
      </c>
    </row>
    <row r="23" spans="1:15" ht="14.25">
      <c r="A23" s="74">
        <v>2013</v>
      </c>
      <c r="B23" s="75" t="s">
        <v>390</v>
      </c>
      <c r="C23" s="75" t="s">
        <v>391</v>
      </c>
      <c r="D23" s="76">
        <v>1425062</v>
      </c>
      <c r="E23" s="76">
        <v>2</v>
      </c>
      <c r="F23" s="76"/>
      <c r="G23" s="75">
        <v>440</v>
      </c>
      <c r="H23" s="75">
        <v>20</v>
      </c>
      <c r="I23" s="76" t="s">
        <v>403</v>
      </c>
      <c r="J23" s="76" t="s">
        <v>130</v>
      </c>
      <c r="K23" s="76" t="b">
        <v>1</v>
      </c>
      <c r="L23" s="72">
        <v>2017</v>
      </c>
      <c r="M23" s="73">
        <v>0.0661</v>
      </c>
      <c r="N23" s="77">
        <v>41222</v>
      </c>
      <c r="O23" s="77">
        <v>41275</v>
      </c>
    </row>
    <row r="24" spans="1:15" ht="14.25">
      <c r="A24" s="74">
        <v>2013</v>
      </c>
      <c r="B24" s="75" t="s">
        <v>390</v>
      </c>
      <c r="C24" s="75" t="s">
        <v>391</v>
      </c>
      <c r="D24" s="76">
        <v>1425062</v>
      </c>
      <c r="E24" s="76">
        <v>2</v>
      </c>
      <c r="F24" s="76"/>
      <c r="G24" s="75">
        <v>270</v>
      </c>
      <c r="H24" s="75">
        <v>10</v>
      </c>
      <c r="I24" s="76"/>
      <c r="J24" s="76" t="s">
        <v>17</v>
      </c>
      <c r="K24" s="76" t="b">
        <v>0</v>
      </c>
      <c r="L24" s="72">
        <v>2013</v>
      </c>
      <c r="M24" s="73">
        <v>4610463</v>
      </c>
      <c r="N24" s="77">
        <v>41222</v>
      </c>
      <c r="O24" s="77">
        <v>41275</v>
      </c>
    </row>
    <row r="25" spans="1:15" ht="14.25">
      <c r="A25" s="74">
        <v>2013</v>
      </c>
      <c r="B25" s="75" t="s">
        <v>390</v>
      </c>
      <c r="C25" s="75" t="s">
        <v>391</v>
      </c>
      <c r="D25" s="76">
        <v>1425062</v>
      </c>
      <c r="E25" s="76">
        <v>2</v>
      </c>
      <c r="F25" s="76"/>
      <c r="G25" s="75">
        <v>151</v>
      </c>
      <c r="H25" s="75" t="s">
        <v>252</v>
      </c>
      <c r="I25" s="76"/>
      <c r="J25" s="76" t="s">
        <v>251</v>
      </c>
      <c r="K25" s="76" t="b">
        <v>0</v>
      </c>
      <c r="L25" s="72">
        <v>2014</v>
      </c>
      <c r="M25" s="73">
        <v>179000</v>
      </c>
      <c r="N25" s="77">
        <v>41222</v>
      </c>
      <c r="O25" s="77">
        <v>41275</v>
      </c>
    </row>
    <row r="26" spans="1:15" ht="14.25">
      <c r="A26" s="74">
        <v>2013</v>
      </c>
      <c r="B26" s="75" t="s">
        <v>390</v>
      </c>
      <c r="C26" s="75" t="s">
        <v>391</v>
      </c>
      <c r="D26" s="76">
        <v>1425062</v>
      </c>
      <c r="E26" s="76">
        <v>2</v>
      </c>
      <c r="F26" s="76"/>
      <c r="G26" s="75">
        <v>420</v>
      </c>
      <c r="H26" s="75">
        <v>19</v>
      </c>
      <c r="I26" s="76" t="s">
        <v>396</v>
      </c>
      <c r="J26" s="76" t="s">
        <v>72</v>
      </c>
      <c r="K26" s="76" t="b">
        <v>1</v>
      </c>
      <c r="L26" s="72">
        <v>2017</v>
      </c>
      <c r="M26" s="73">
        <v>0.0618</v>
      </c>
      <c r="N26" s="77">
        <v>41222</v>
      </c>
      <c r="O26" s="77">
        <v>41275</v>
      </c>
    </row>
    <row r="27" spans="1:15" ht="14.25">
      <c r="A27" s="74">
        <v>2013</v>
      </c>
      <c r="B27" s="75" t="s">
        <v>390</v>
      </c>
      <c r="C27" s="75" t="s">
        <v>391</v>
      </c>
      <c r="D27" s="76">
        <v>1425062</v>
      </c>
      <c r="E27" s="76">
        <v>2</v>
      </c>
      <c r="F27" s="76"/>
      <c r="G27" s="75">
        <v>490</v>
      </c>
      <c r="H27" s="75" t="s">
        <v>133</v>
      </c>
      <c r="I27" s="76" t="s">
        <v>397</v>
      </c>
      <c r="J27" s="76" t="s">
        <v>292</v>
      </c>
      <c r="K27" s="76" t="b">
        <v>0</v>
      </c>
      <c r="L27" s="72">
        <v>2018</v>
      </c>
      <c r="M27" s="73">
        <v>40</v>
      </c>
      <c r="N27" s="77">
        <v>41222</v>
      </c>
      <c r="O27" s="77">
        <v>41275</v>
      </c>
    </row>
    <row r="28" spans="1:15" ht="14.25">
      <c r="A28" s="74">
        <v>2013</v>
      </c>
      <c r="B28" s="75" t="s">
        <v>390</v>
      </c>
      <c r="C28" s="75" t="s">
        <v>391</v>
      </c>
      <c r="D28" s="76">
        <v>1425062</v>
      </c>
      <c r="E28" s="76">
        <v>2</v>
      </c>
      <c r="F28" s="76"/>
      <c r="G28" s="75">
        <v>280</v>
      </c>
      <c r="H28" s="75" t="s">
        <v>119</v>
      </c>
      <c r="I28" s="76"/>
      <c r="J28" s="76" t="s">
        <v>120</v>
      </c>
      <c r="K28" s="76" t="b">
        <v>0</v>
      </c>
      <c r="L28" s="72">
        <v>2013</v>
      </c>
      <c r="M28" s="73">
        <v>3208757</v>
      </c>
      <c r="N28" s="77">
        <v>41222</v>
      </c>
      <c r="O28" s="77">
        <v>41275</v>
      </c>
    </row>
    <row r="29" spans="1:15" ht="14.25">
      <c r="A29" s="74">
        <v>2013</v>
      </c>
      <c r="B29" s="75" t="s">
        <v>390</v>
      </c>
      <c r="C29" s="75" t="s">
        <v>391</v>
      </c>
      <c r="D29" s="76">
        <v>1425062</v>
      </c>
      <c r="E29" s="76">
        <v>2</v>
      </c>
      <c r="F29" s="76"/>
      <c r="G29" s="75">
        <v>470</v>
      </c>
      <c r="H29" s="75" t="s">
        <v>132</v>
      </c>
      <c r="I29" s="76" t="s">
        <v>402</v>
      </c>
      <c r="J29" s="76" t="s">
        <v>289</v>
      </c>
      <c r="K29" s="76" t="b">
        <v>0</v>
      </c>
      <c r="L29" s="72">
        <v>2019</v>
      </c>
      <c r="M29" s="73">
        <v>3</v>
      </c>
      <c r="N29" s="77">
        <v>41222</v>
      </c>
      <c r="O29" s="77">
        <v>41275</v>
      </c>
    </row>
    <row r="30" spans="1:15" ht="14.25">
      <c r="A30" s="74">
        <v>2013</v>
      </c>
      <c r="B30" s="75" t="s">
        <v>390</v>
      </c>
      <c r="C30" s="75" t="s">
        <v>391</v>
      </c>
      <c r="D30" s="76">
        <v>1425062</v>
      </c>
      <c r="E30" s="76">
        <v>2</v>
      </c>
      <c r="F30" s="76"/>
      <c r="G30" s="75">
        <v>490</v>
      </c>
      <c r="H30" s="75" t="s">
        <v>133</v>
      </c>
      <c r="I30" s="76" t="s">
        <v>397</v>
      </c>
      <c r="J30" s="76" t="s">
        <v>292</v>
      </c>
      <c r="K30" s="76" t="b">
        <v>0</v>
      </c>
      <c r="L30" s="72">
        <v>2020</v>
      </c>
      <c r="M30" s="73">
        <v>592</v>
      </c>
      <c r="N30" s="77">
        <v>41222</v>
      </c>
      <c r="O30" s="77">
        <v>41275</v>
      </c>
    </row>
    <row r="31" spans="1:15" ht="14.25">
      <c r="A31" s="74">
        <v>2013</v>
      </c>
      <c r="B31" s="75" t="s">
        <v>390</v>
      </c>
      <c r="C31" s="75" t="s">
        <v>391</v>
      </c>
      <c r="D31" s="76">
        <v>1425062</v>
      </c>
      <c r="E31" s="76">
        <v>2</v>
      </c>
      <c r="F31" s="76"/>
      <c r="G31" s="75">
        <v>570</v>
      </c>
      <c r="H31" s="75">
        <v>30</v>
      </c>
      <c r="I31" s="76" t="s">
        <v>404</v>
      </c>
      <c r="J31" s="76" t="s">
        <v>295</v>
      </c>
      <c r="K31" s="76" t="b">
        <v>0</v>
      </c>
      <c r="L31" s="72">
        <v>2020</v>
      </c>
      <c r="M31" s="73">
        <v>500000</v>
      </c>
      <c r="N31" s="77">
        <v>41222</v>
      </c>
      <c r="O31" s="77">
        <v>41275</v>
      </c>
    </row>
    <row r="32" spans="1:15" ht="14.25">
      <c r="A32" s="74">
        <v>2013</v>
      </c>
      <c r="B32" s="75" t="s">
        <v>390</v>
      </c>
      <c r="C32" s="75" t="s">
        <v>391</v>
      </c>
      <c r="D32" s="76">
        <v>1425062</v>
      </c>
      <c r="E32" s="76">
        <v>2</v>
      </c>
      <c r="F32" s="76"/>
      <c r="G32" s="75">
        <v>330</v>
      </c>
      <c r="H32" s="75">
        <v>13</v>
      </c>
      <c r="I32" s="76"/>
      <c r="J32" s="76" t="s">
        <v>277</v>
      </c>
      <c r="K32" s="76" t="b">
        <v>1</v>
      </c>
      <c r="L32" s="72">
        <v>2021</v>
      </c>
      <c r="M32" s="73">
        <v>1693635</v>
      </c>
      <c r="N32" s="77">
        <v>41222</v>
      </c>
      <c r="O32" s="77">
        <v>41275</v>
      </c>
    </row>
    <row r="33" spans="1:15" ht="14.25">
      <c r="A33" s="74">
        <v>2013</v>
      </c>
      <c r="B33" s="75" t="s">
        <v>390</v>
      </c>
      <c r="C33" s="75" t="s">
        <v>391</v>
      </c>
      <c r="D33" s="76">
        <v>1425062</v>
      </c>
      <c r="E33" s="76">
        <v>2</v>
      </c>
      <c r="F33" s="76"/>
      <c r="G33" s="75">
        <v>430</v>
      </c>
      <c r="H33" s="75" t="s">
        <v>129</v>
      </c>
      <c r="I33" s="76" t="s">
        <v>399</v>
      </c>
      <c r="J33" s="76" t="s">
        <v>74</v>
      </c>
      <c r="K33" s="76" t="b">
        <v>0</v>
      </c>
      <c r="L33" s="72">
        <v>2022</v>
      </c>
      <c r="M33" s="73">
        <v>0.0476</v>
      </c>
      <c r="N33" s="77">
        <v>41222</v>
      </c>
      <c r="O33" s="77">
        <v>41275</v>
      </c>
    </row>
    <row r="34" spans="1:15" ht="14.25">
      <c r="A34" s="74">
        <v>2013</v>
      </c>
      <c r="B34" s="75" t="s">
        <v>390</v>
      </c>
      <c r="C34" s="75" t="s">
        <v>391</v>
      </c>
      <c r="D34" s="76">
        <v>1425062</v>
      </c>
      <c r="E34" s="76">
        <v>2</v>
      </c>
      <c r="F34" s="76"/>
      <c r="G34" s="75">
        <v>1</v>
      </c>
      <c r="H34" s="75">
        <v>1</v>
      </c>
      <c r="I34" s="76" t="s">
        <v>401</v>
      </c>
      <c r="J34" s="76" t="s">
        <v>91</v>
      </c>
      <c r="K34" s="76" t="b">
        <v>1</v>
      </c>
      <c r="L34" s="72">
        <v>2019</v>
      </c>
      <c r="M34" s="73">
        <v>34994570</v>
      </c>
      <c r="N34" s="77">
        <v>41222</v>
      </c>
      <c r="O34" s="77">
        <v>41275</v>
      </c>
    </row>
    <row r="35" spans="1:15" ht="14.25">
      <c r="A35" s="74">
        <v>2013</v>
      </c>
      <c r="B35" s="75" t="s">
        <v>390</v>
      </c>
      <c r="C35" s="75" t="s">
        <v>391</v>
      </c>
      <c r="D35" s="76">
        <v>1425062</v>
      </c>
      <c r="E35" s="76">
        <v>2</v>
      </c>
      <c r="F35" s="76"/>
      <c r="G35" s="75">
        <v>440</v>
      </c>
      <c r="H35" s="75">
        <v>20</v>
      </c>
      <c r="I35" s="76" t="s">
        <v>403</v>
      </c>
      <c r="J35" s="76" t="s">
        <v>130</v>
      </c>
      <c r="K35" s="76" t="b">
        <v>1</v>
      </c>
      <c r="L35" s="72">
        <v>2013</v>
      </c>
      <c r="M35" s="73">
        <v>0.11</v>
      </c>
      <c r="N35" s="77">
        <v>41222</v>
      </c>
      <c r="O35" s="77">
        <v>41275</v>
      </c>
    </row>
    <row r="36" spans="1:15" ht="14.25">
      <c r="A36" s="74">
        <v>2013</v>
      </c>
      <c r="B36" s="75" t="s">
        <v>390</v>
      </c>
      <c r="C36" s="75" t="s">
        <v>391</v>
      </c>
      <c r="D36" s="76">
        <v>1425062</v>
      </c>
      <c r="E36" s="76">
        <v>2</v>
      </c>
      <c r="F36" s="76"/>
      <c r="G36" s="75">
        <v>300</v>
      </c>
      <c r="H36" s="75">
        <v>11</v>
      </c>
      <c r="I36" s="76"/>
      <c r="J36" s="76" t="s">
        <v>62</v>
      </c>
      <c r="K36" s="76" t="b">
        <v>1</v>
      </c>
      <c r="L36" s="72">
        <v>2014</v>
      </c>
      <c r="M36" s="73">
        <v>406374</v>
      </c>
      <c r="N36" s="77">
        <v>41222</v>
      </c>
      <c r="O36" s="77">
        <v>41275</v>
      </c>
    </row>
    <row r="37" spans="1:15" ht="14.25">
      <c r="A37" s="74">
        <v>2013</v>
      </c>
      <c r="B37" s="75" t="s">
        <v>390</v>
      </c>
      <c r="C37" s="75" t="s">
        <v>391</v>
      </c>
      <c r="D37" s="76">
        <v>1425062</v>
      </c>
      <c r="E37" s="76">
        <v>2</v>
      </c>
      <c r="F37" s="76"/>
      <c r="G37" s="75">
        <v>9</v>
      </c>
      <c r="H37" s="75">
        <v>2</v>
      </c>
      <c r="I37" s="76"/>
      <c r="J37" s="76" t="s">
        <v>3</v>
      </c>
      <c r="K37" s="76" t="b">
        <v>1</v>
      </c>
      <c r="L37" s="72">
        <v>2015</v>
      </c>
      <c r="M37" s="73">
        <v>28496008</v>
      </c>
      <c r="N37" s="77">
        <v>41222</v>
      </c>
      <c r="O37" s="77">
        <v>41275</v>
      </c>
    </row>
    <row r="38" spans="1:15" ht="14.25">
      <c r="A38" s="74">
        <v>2013</v>
      </c>
      <c r="B38" s="75" t="s">
        <v>390</v>
      </c>
      <c r="C38" s="75" t="s">
        <v>391</v>
      </c>
      <c r="D38" s="76">
        <v>1425062</v>
      </c>
      <c r="E38" s="76">
        <v>2</v>
      </c>
      <c r="F38" s="76"/>
      <c r="G38" s="75">
        <v>420</v>
      </c>
      <c r="H38" s="75">
        <v>19</v>
      </c>
      <c r="I38" s="76" t="s">
        <v>396</v>
      </c>
      <c r="J38" s="76" t="s">
        <v>72</v>
      </c>
      <c r="K38" s="76" t="b">
        <v>1</v>
      </c>
      <c r="L38" s="72">
        <v>2020</v>
      </c>
      <c r="M38" s="73">
        <v>0.0203</v>
      </c>
      <c r="N38" s="77">
        <v>41222</v>
      </c>
      <c r="O38" s="77">
        <v>41275</v>
      </c>
    </row>
    <row r="39" spans="1:15" ht="14.25">
      <c r="A39" s="74">
        <v>2013</v>
      </c>
      <c r="B39" s="75" t="s">
        <v>390</v>
      </c>
      <c r="C39" s="75" t="s">
        <v>391</v>
      </c>
      <c r="D39" s="76">
        <v>1425062</v>
      </c>
      <c r="E39" s="76">
        <v>2</v>
      </c>
      <c r="F39" s="76"/>
      <c r="G39" s="75">
        <v>550</v>
      </c>
      <c r="H39" s="75">
        <v>28</v>
      </c>
      <c r="I39" s="76" t="s">
        <v>405</v>
      </c>
      <c r="J39" s="76" t="s">
        <v>47</v>
      </c>
      <c r="K39" s="76" t="b">
        <v>0</v>
      </c>
      <c r="L39" s="72">
        <v>2019</v>
      </c>
      <c r="M39" s="73">
        <v>2450000</v>
      </c>
      <c r="N39" s="77">
        <v>41222</v>
      </c>
      <c r="O39" s="77">
        <v>41275</v>
      </c>
    </row>
    <row r="40" spans="1:15" ht="14.25">
      <c r="A40" s="74">
        <v>2013</v>
      </c>
      <c r="B40" s="75" t="s">
        <v>390</v>
      </c>
      <c r="C40" s="75" t="s">
        <v>391</v>
      </c>
      <c r="D40" s="76">
        <v>1425062</v>
      </c>
      <c r="E40" s="76">
        <v>2</v>
      </c>
      <c r="F40" s="76"/>
      <c r="G40" s="75">
        <v>150</v>
      </c>
      <c r="H40" s="75" t="s">
        <v>106</v>
      </c>
      <c r="I40" s="76"/>
      <c r="J40" s="76" t="s">
        <v>271</v>
      </c>
      <c r="K40" s="76" t="b">
        <v>0</v>
      </c>
      <c r="L40" s="72">
        <v>2013</v>
      </c>
      <c r="M40" s="73">
        <v>190000</v>
      </c>
      <c r="N40" s="77">
        <v>41222</v>
      </c>
      <c r="O40" s="77">
        <v>41275</v>
      </c>
    </row>
    <row r="41" spans="1:15" ht="14.25">
      <c r="A41" s="74">
        <v>2013</v>
      </c>
      <c r="B41" s="75" t="s">
        <v>390</v>
      </c>
      <c r="C41" s="75" t="s">
        <v>391</v>
      </c>
      <c r="D41" s="76">
        <v>1425062</v>
      </c>
      <c r="E41" s="76">
        <v>2</v>
      </c>
      <c r="F41" s="76"/>
      <c r="G41" s="75">
        <v>270</v>
      </c>
      <c r="H41" s="75">
        <v>10</v>
      </c>
      <c r="I41" s="76"/>
      <c r="J41" s="76" t="s">
        <v>17</v>
      </c>
      <c r="K41" s="76" t="b">
        <v>0</v>
      </c>
      <c r="L41" s="72">
        <v>2016</v>
      </c>
      <c r="M41" s="73">
        <v>4102930</v>
      </c>
      <c r="N41" s="77">
        <v>41222</v>
      </c>
      <c r="O41" s="77">
        <v>41275</v>
      </c>
    </row>
    <row r="42" spans="1:15" ht="14.25">
      <c r="A42" s="74">
        <v>2013</v>
      </c>
      <c r="B42" s="75" t="s">
        <v>390</v>
      </c>
      <c r="C42" s="75" t="s">
        <v>391</v>
      </c>
      <c r="D42" s="76">
        <v>1425062</v>
      </c>
      <c r="E42" s="76">
        <v>2</v>
      </c>
      <c r="F42" s="76"/>
      <c r="G42" s="75">
        <v>1</v>
      </c>
      <c r="H42" s="75">
        <v>1</v>
      </c>
      <c r="I42" s="76" t="s">
        <v>401</v>
      </c>
      <c r="J42" s="76" t="s">
        <v>91</v>
      </c>
      <c r="K42" s="76" t="b">
        <v>1</v>
      </c>
      <c r="L42" s="72">
        <v>2021</v>
      </c>
      <c r="M42" s="73">
        <v>37019649</v>
      </c>
      <c r="N42" s="77">
        <v>41222</v>
      </c>
      <c r="O42" s="77">
        <v>41275</v>
      </c>
    </row>
    <row r="43" spans="1:15" ht="14.25">
      <c r="A43" s="74">
        <v>2013</v>
      </c>
      <c r="B43" s="75" t="s">
        <v>390</v>
      </c>
      <c r="C43" s="75" t="s">
        <v>391</v>
      </c>
      <c r="D43" s="76">
        <v>1425062</v>
      </c>
      <c r="E43" s="76">
        <v>2</v>
      </c>
      <c r="F43" s="76"/>
      <c r="G43" s="75">
        <v>160</v>
      </c>
      <c r="H43" s="75">
        <v>3</v>
      </c>
      <c r="I43" s="76" t="s">
        <v>406</v>
      </c>
      <c r="J43" s="76" t="s">
        <v>107</v>
      </c>
      <c r="K43" s="76" t="b">
        <v>1</v>
      </c>
      <c r="L43" s="72">
        <v>2019</v>
      </c>
      <c r="M43" s="73">
        <v>3412279</v>
      </c>
      <c r="N43" s="77">
        <v>41222</v>
      </c>
      <c r="O43" s="77">
        <v>41275</v>
      </c>
    </row>
    <row r="44" spans="1:15" ht="14.25">
      <c r="A44" s="74">
        <v>2013</v>
      </c>
      <c r="B44" s="75" t="s">
        <v>390</v>
      </c>
      <c r="C44" s="75" t="s">
        <v>391</v>
      </c>
      <c r="D44" s="76">
        <v>1425062</v>
      </c>
      <c r="E44" s="76">
        <v>2</v>
      </c>
      <c r="F44" s="76"/>
      <c r="G44" s="75">
        <v>11</v>
      </c>
      <c r="H44" s="75" t="s">
        <v>99</v>
      </c>
      <c r="I44" s="76"/>
      <c r="J44" s="76" t="s">
        <v>100</v>
      </c>
      <c r="K44" s="76" t="b">
        <v>0</v>
      </c>
      <c r="L44" s="72">
        <v>2021</v>
      </c>
      <c r="M44" s="73">
        <v>3691248</v>
      </c>
      <c r="N44" s="77">
        <v>41222</v>
      </c>
      <c r="O44" s="77">
        <v>41275</v>
      </c>
    </row>
    <row r="45" spans="1:15" ht="14.25">
      <c r="A45" s="74">
        <v>2013</v>
      </c>
      <c r="B45" s="75" t="s">
        <v>390</v>
      </c>
      <c r="C45" s="75" t="s">
        <v>391</v>
      </c>
      <c r="D45" s="76">
        <v>1425062</v>
      </c>
      <c r="E45" s="76">
        <v>2</v>
      </c>
      <c r="F45" s="76"/>
      <c r="G45" s="75">
        <v>230</v>
      </c>
      <c r="H45" s="75" t="s">
        <v>115</v>
      </c>
      <c r="I45" s="76"/>
      <c r="J45" s="76" t="s">
        <v>275</v>
      </c>
      <c r="K45" s="76" t="b">
        <v>1</v>
      </c>
      <c r="L45" s="72">
        <v>2022</v>
      </c>
      <c r="M45" s="73">
        <v>120000</v>
      </c>
      <c r="N45" s="77">
        <v>41222</v>
      </c>
      <c r="O45" s="77">
        <v>41275</v>
      </c>
    </row>
    <row r="46" spans="1:15" ht="14.25">
      <c r="A46" s="74">
        <v>2013</v>
      </c>
      <c r="B46" s="75" t="s">
        <v>390</v>
      </c>
      <c r="C46" s="75" t="s">
        <v>391</v>
      </c>
      <c r="D46" s="76">
        <v>1425062</v>
      </c>
      <c r="E46" s="76">
        <v>2</v>
      </c>
      <c r="F46" s="76"/>
      <c r="G46" s="75">
        <v>540</v>
      </c>
      <c r="H46" s="75">
        <v>27</v>
      </c>
      <c r="I46" s="76" t="s">
        <v>400</v>
      </c>
      <c r="J46" s="76" t="s">
        <v>45</v>
      </c>
      <c r="K46" s="76" t="b">
        <v>0</v>
      </c>
      <c r="L46" s="72">
        <v>2015</v>
      </c>
      <c r="M46" s="73">
        <v>31156008</v>
      </c>
      <c r="N46" s="77">
        <v>41222</v>
      </c>
      <c r="O46" s="77">
        <v>41275</v>
      </c>
    </row>
    <row r="47" spans="1:15" ht="14.25">
      <c r="A47" s="74">
        <v>2013</v>
      </c>
      <c r="B47" s="75" t="s">
        <v>390</v>
      </c>
      <c r="C47" s="75" t="s">
        <v>391</v>
      </c>
      <c r="D47" s="76">
        <v>1425062</v>
      </c>
      <c r="E47" s="76">
        <v>2</v>
      </c>
      <c r="F47" s="76"/>
      <c r="G47" s="75">
        <v>471</v>
      </c>
      <c r="H47" s="75" t="s">
        <v>263</v>
      </c>
      <c r="I47" s="76" t="s">
        <v>402</v>
      </c>
      <c r="J47" s="76" t="s">
        <v>290</v>
      </c>
      <c r="K47" s="76" t="b">
        <v>0</v>
      </c>
      <c r="L47" s="72">
        <v>2020</v>
      </c>
      <c r="M47" s="73">
        <v>592</v>
      </c>
      <c r="N47" s="77">
        <v>41222</v>
      </c>
      <c r="O47" s="77">
        <v>41275</v>
      </c>
    </row>
    <row r="48" spans="1:15" ht="14.25">
      <c r="A48" s="74">
        <v>2013</v>
      </c>
      <c r="B48" s="75" t="s">
        <v>390</v>
      </c>
      <c r="C48" s="75" t="s">
        <v>391</v>
      </c>
      <c r="D48" s="76">
        <v>1425062</v>
      </c>
      <c r="E48" s="76">
        <v>2</v>
      </c>
      <c r="F48" s="76"/>
      <c r="G48" s="75">
        <v>510</v>
      </c>
      <c r="H48" s="75">
        <v>24</v>
      </c>
      <c r="I48" s="76" t="s">
        <v>407</v>
      </c>
      <c r="J48" s="76" t="s">
        <v>294</v>
      </c>
      <c r="K48" s="76" t="b">
        <v>1</v>
      </c>
      <c r="L48" s="72">
        <v>2018</v>
      </c>
      <c r="M48" s="73">
        <v>31221747</v>
      </c>
      <c r="N48" s="77">
        <v>41222</v>
      </c>
      <c r="O48" s="77">
        <v>41275</v>
      </c>
    </row>
    <row r="49" spans="1:15" ht="14.25">
      <c r="A49" s="74">
        <v>2013</v>
      </c>
      <c r="B49" s="75" t="s">
        <v>390</v>
      </c>
      <c r="C49" s="75" t="s">
        <v>391</v>
      </c>
      <c r="D49" s="76">
        <v>1425062</v>
      </c>
      <c r="E49" s="76">
        <v>2</v>
      </c>
      <c r="F49" s="76"/>
      <c r="G49" s="75">
        <v>451</v>
      </c>
      <c r="H49" s="75" t="s">
        <v>262</v>
      </c>
      <c r="I49" s="76" t="s">
        <v>394</v>
      </c>
      <c r="J49" s="76" t="s">
        <v>287</v>
      </c>
      <c r="K49" s="76" t="b">
        <v>0</v>
      </c>
      <c r="L49" s="72">
        <v>2019</v>
      </c>
      <c r="M49" s="73">
        <v>0.0737</v>
      </c>
      <c r="N49" s="77">
        <v>41222</v>
      </c>
      <c r="O49" s="77">
        <v>41275</v>
      </c>
    </row>
    <row r="50" spans="1:15" ht="14.25">
      <c r="A50" s="74">
        <v>2013</v>
      </c>
      <c r="B50" s="75" t="s">
        <v>390</v>
      </c>
      <c r="C50" s="75" t="s">
        <v>391</v>
      </c>
      <c r="D50" s="76">
        <v>1425062</v>
      </c>
      <c r="E50" s="76">
        <v>2</v>
      </c>
      <c r="F50" s="76"/>
      <c r="G50" s="75">
        <v>471</v>
      </c>
      <c r="H50" s="75" t="s">
        <v>263</v>
      </c>
      <c r="I50" s="76" t="s">
        <v>402</v>
      </c>
      <c r="J50" s="76" t="s">
        <v>290</v>
      </c>
      <c r="K50" s="76" t="b">
        <v>0</v>
      </c>
      <c r="L50" s="72">
        <v>2018</v>
      </c>
      <c r="M50" s="73">
        <v>40</v>
      </c>
      <c r="N50" s="77">
        <v>41222</v>
      </c>
      <c r="O50" s="77">
        <v>41275</v>
      </c>
    </row>
    <row r="51" spans="1:15" ht="14.25">
      <c r="A51" s="74">
        <v>2013</v>
      </c>
      <c r="B51" s="75" t="s">
        <v>390</v>
      </c>
      <c r="C51" s="75" t="s">
        <v>391</v>
      </c>
      <c r="D51" s="76">
        <v>1425062</v>
      </c>
      <c r="E51" s="76">
        <v>2</v>
      </c>
      <c r="F51" s="76"/>
      <c r="G51" s="75">
        <v>260</v>
      </c>
      <c r="H51" s="75">
        <v>9</v>
      </c>
      <c r="I51" s="76" t="s">
        <v>398</v>
      </c>
      <c r="J51" s="76" t="s">
        <v>118</v>
      </c>
      <c r="K51" s="76" t="b">
        <v>0</v>
      </c>
      <c r="L51" s="72">
        <v>2016</v>
      </c>
      <c r="M51" s="73">
        <v>3041227</v>
      </c>
      <c r="N51" s="77">
        <v>41222</v>
      </c>
      <c r="O51" s="77">
        <v>41275</v>
      </c>
    </row>
    <row r="52" spans="1:15" ht="14.25">
      <c r="A52" s="74">
        <v>2013</v>
      </c>
      <c r="B52" s="75" t="s">
        <v>390</v>
      </c>
      <c r="C52" s="75" t="s">
        <v>391</v>
      </c>
      <c r="D52" s="76">
        <v>1425062</v>
      </c>
      <c r="E52" s="76">
        <v>2</v>
      </c>
      <c r="F52" s="76"/>
      <c r="G52" s="75">
        <v>471</v>
      </c>
      <c r="H52" s="75" t="s">
        <v>263</v>
      </c>
      <c r="I52" s="76" t="s">
        <v>402</v>
      </c>
      <c r="J52" s="76" t="s">
        <v>290</v>
      </c>
      <c r="K52" s="76" t="b">
        <v>0</v>
      </c>
      <c r="L52" s="72">
        <v>2013</v>
      </c>
      <c r="M52" s="73">
        <v>-660</v>
      </c>
      <c r="N52" s="77">
        <v>41222</v>
      </c>
      <c r="O52" s="77">
        <v>41275</v>
      </c>
    </row>
    <row r="53" spans="1:15" ht="14.25">
      <c r="A53" s="74">
        <v>2013</v>
      </c>
      <c r="B53" s="75" t="s">
        <v>390</v>
      </c>
      <c r="C53" s="75" t="s">
        <v>391</v>
      </c>
      <c r="D53" s="76">
        <v>1425062</v>
      </c>
      <c r="E53" s="76">
        <v>2</v>
      </c>
      <c r="F53" s="76"/>
      <c r="G53" s="75">
        <v>490</v>
      </c>
      <c r="H53" s="75" t="s">
        <v>133</v>
      </c>
      <c r="I53" s="76" t="s">
        <v>397</v>
      </c>
      <c r="J53" s="76" t="s">
        <v>292</v>
      </c>
      <c r="K53" s="76" t="b">
        <v>0</v>
      </c>
      <c r="L53" s="72">
        <v>2013</v>
      </c>
      <c r="M53" s="73">
        <v>-660</v>
      </c>
      <c r="N53" s="77">
        <v>41222</v>
      </c>
      <c r="O53" s="77">
        <v>41275</v>
      </c>
    </row>
    <row r="54" spans="1:15" ht="14.25">
      <c r="A54" s="74">
        <v>2013</v>
      </c>
      <c r="B54" s="75" t="s">
        <v>390</v>
      </c>
      <c r="C54" s="75" t="s">
        <v>391</v>
      </c>
      <c r="D54" s="76">
        <v>1425062</v>
      </c>
      <c r="E54" s="76">
        <v>2</v>
      </c>
      <c r="F54" s="76"/>
      <c r="G54" s="75">
        <v>490</v>
      </c>
      <c r="H54" s="75" t="s">
        <v>133</v>
      </c>
      <c r="I54" s="76" t="s">
        <v>397</v>
      </c>
      <c r="J54" s="76" t="s">
        <v>292</v>
      </c>
      <c r="K54" s="76" t="b">
        <v>0</v>
      </c>
      <c r="L54" s="72">
        <v>2015</v>
      </c>
      <c r="M54" s="73">
        <v>249</v>
      </c>
      <c r="N54" s="77">
        <v>41222</v>
      </c>
      <c r="O54" s="77">
        <v>41275</v>
      </c>
    </row>
    <row r="55" spans="1:15" ht="14.25">
      <c r="A55" s="74">
        <v>2013</v>
      </c>
      <c r="B55" s="75" t="s">
        <v>390</v>
      </c>
      <c r="C55" s="75" t="s">
        <v>391</v>
      </c>
      <c r="D55" s="76">
        <v>1425062</v>
      </c>
      <c r="E55" s="76">
        <v>2</v>
      </c>
      <c r="F55" s="76"/>
      <c r="G55" s="75">
        <v>451</v>
      </c>
      <c r="H55" s="75" t="s">
        <v>262</v>
      </c>
      <c r="I55" s="76" t="s">
        <v>394</v>
      </c>
      <c r="J55" s="76" t="s">
        <v>287</v>
      </c>
      <c r="K55" s="76" t="b">
        <v>0</v>
      </c>
      <c r="L55" s="72">
        <v>2015</v>
      </c>
      <c r="M55" s="73">
        <v>0.0859</v>
      </c>
      <c r="N55" s="77">
        <v>41222</v>
      </c>
      <c r="O55" s="77">
        <v>41275</v>
      </c>
    </row>
    <row r="56" spans="1:15" ht="14.25">
      <c r="A56" s="74">
        <v>2013</v>
      </c>
      <c r="B56" s="75" t="s">
        <v>390</v>
      </c>
      <c r="C56" s="75" t="s">
        <v>391</v>
      </c>
      <c r="D56" s="76">
        <v>1425062</v>
      </c>
      <c r="E56" s="76">
        <v>2</v>
      </c>
      <c r="F56" s="76"/>
      <c r="G56" s="75">
        <v>510</v>
      </c>
      <c r="H56" s="75">
        <v>24</v>
      </c>
      <c r="I56" s="76" t="s">
        <v>407</v>
      </c>
      <c r="J56" s="76" t="s">
        <v>294</v>
      </c>
      <c r="K56" s="76" t="b">
        <v>1</v>
      </c>
      <c r="L56" s="72">
        <v>2013</v>
      </c>
      <c r="M56" s="73">
        <v>26930366</v>
      </c>
      <c r="N56" s="77">
        <v>41222</v>
      </c>
      <c r="O56" s="77">
        <v>41275</v>
      </c>
    </row>
    <row r="57" spans="1:15" ht="14.25">
      <c r="A57" s="74">
        <v>2013</v>
      </c>
      <c r="B57" s="75" t="s">
        <v>390</v>
      </c>
      <c r="C57" s="75" t="s">
        <v>391</v>
      </c>
      <c r="D57" s="76">
        <v>1425062</v>
      </c>
      <c r="E57" s="76">
        <v>2</v>
      </c>
      <c r="F57" s="76"/>
      <c r="G57" s="75">
        <v>11</v>
      </c>
      <c r="H57" s="75" t="s">
        <v>99</v>
      </c>
      <c r="I57" s="76"/>
      <c r="J57" s="76" t="s">
        <v>100</v>
      </c>
      <c r="K57" s="76" t="b">
        <v>0</v>
      </c>
      <c r="L57" s="72">
        <v>2022</v>
      </c>
      <c r="M57" s="73">
        <v>3776147</v>
      </c>
      <c r="N57" s="77">
        <v>41222</v>
      </c>
      <c r="O57" s="77">
        <v>41275</v>
      </c>
    </row>
    <row r="58" spans="1:15" ht="14.25">
      <c r="A58" s="74">
        <v>2013</v>
      </c>
      <c r="B58" s="75" t="s">
        <v>390</v>
      </c>
      <c r="C58" s="75" t="s">
        <v>391</v>
      </c>
      <c r="D58" s="76">
        <v>1425062</v>
      </c>
      <c r="E58" s="76">
        <v>2</v>
      </c>
      <c r="F58" s="76"/>
      <c r="G58" s="75">
        <v>160</v>
      </c>
      <c r="H58" s="75">
        <v>3</v>
      </c>
      <c r="I58" s="76" t="s">
        <v>406</v>
      </c>
      <c r="J58" s="76" t="s">
        <v>107</v>
      </c>
      <c r="K58" s="76" t="b">
        <v>1</v>
      </c>
      <c r="L58" s="72">
        <v>2016</v>
      </c>
      <c r="M58" s="73">
        <v>5041227</v>
      </c>
      <c r="N58" s="77">
        <v>41222</v>
      </c>
      <c r="O58" s="77">
        <v>41275</v>
      </c>
    </row>
    <row r="59" spans="1:15" ht="14.25">
      <c r="A59" s="74">
        <v>2013</v>
      </c>
      <c r="B59" s="75" t="s">
        <v>390</v>
      </c>
      <c r="C59" s="75" t="s">
        <v>391</v>
      </c>
      <c r="D59" s="76">
        <v>1425062</v>
      </c>
      <c r="E59" s="76">
        <v>2</v>
      </c>
      <c r="F59" s="76"/>
      <c r="G59" s="75">
        <v>530</v>
      </c>
      <c r="H59" s="75">
        <v>26</v>
      </c>
      <c r="I59" s="76" t="s">
        <v>395</v>
      </c>
      <c r="J59" s="76" t="s">
        <v>58</v>
      </c>
      <c r="K59" s="76" t="b">
        <v>1</v>
      </c>
      <c r="L59" s="72">
        <v>2018</v>
      </c>
      <c r="M59" s="73">
        <v>33878223</v>
      </c>
      <c r="N59" s="77">
        <v>41222</v>
      </c>
      <c r="O59" s="77">
        <v>41275</v>
      </c>
    </row>
    <row r="60" spans="1:15" ht="14.25">
      <c r="A60" s="74">
        <v>2013</v>
      </c>
      <c r="B60" s="75" t="s">
        <v>390</v>
      </c>
      <c r="C60" s="75" t="s">
        <v>391</v>
      </c>
      <c r="D60" s="76">
        <v>1425062</v>
      </c>
      <c r="E60" s="76">
        <v>2</v>
      </c>
      <c r="F60" s="76"/>
      <c r="G60" s="75">
        <v>491</v>
      </c>
      <c r="H60" s="75" t="s">
        <v>264</v>
      </c>
      <c r="I60" s="76" t="s">
        <v>397</v>
      </c>
      <c r="J60" s="76" t="s">
        <v>293</v>
      </c>
      <c r="K60" s="76" t="b">
        <v>0</v>
      </c>
      <c r="L60" s="72">
        <v>2022</v>
      </c>
      <c r="M60" s="73">
        <v>349</v>
      </c>
      <c r="N60" s="77">
        <v>41222</v>
      </c>
      <c r="O60" s="77">
        <v>41275</v>
      </c>
    </row>
    <row r="61" spans="1:15" ht="14.25">
      <c r="A61" s="74">
        <v>2013</v>
      </c>
      <c r="B61" s="75" t="s">
        <v>390</v>
      </c>
      <c r="C61" s="75" t="s">
        <v>391</v>
      </c>
      <c r="D61" s="76">
        <v>1425062</v>
      </c>
      <c r="E61" s="76">
        <v>2</v>
      </c>
      <c r="F61" s="76"/>
      <c r="G61" s="75">
        <v>550</v>
      </c>
      <c r="H61" s="75">
        <v>28</v>
      </c>
      <c r="I61" s="76" t="s">
        <v>405</v>
      </c>
      <c r="J61" s="76" t="s">
        <v>47</v>
      </c>
      <c r="K61" s="76" t="b">
        <v>0</v>
      </c>
      <c r="L61" s="72">
        <v>2022</v>
      </c>
      <c r="M61" s="73">
        <v>1693635</v>
      </c>
      <c r="N61" s="77">
        <v>41222</v>
      </c>
      <c r="O61" s="77">
        <v>41275</v>
      </c>
    </row>
    <row r="62" spans="1:15" ht="14.25">
      <c r="A62" s="74">
        <v>2013</v>
      </c>
      <c r="B62" s="75" t="s">
        <v>390</v>
      </c>
      <c r="C62" s="75" t="s">
        <v>391</v>
      </c>
      <c r="D62" s="76">
        <v>1425062</v>
      </c>
      <c r="E62" s="76">
        <v>2</v>
      </c>
      <c r="F62" s="76"/>
      <c r="G62" s="75">
        <v>330</v>
      </c>
      <c r="H62" s="75">
        <v>13</v>
      </c>
      <c r="I62" s="76"/>
      <c r="J62" s="76" t="s">
        <v>277</v>
      </c>
      <c r="K62" s="76" t="b">
        <v>1</v>
      </c>
      <c r="L62" s="72">
        <v>2017</v>
      </c>
      <c r="M62" s="73">
        <v>9160211</v>
      </c>
      <c r="N62" s="77">
        <v>41222</v>
      </c>
      <c r="O62" s="77">
        <v>41275</v>
      </c>
    </row>
    <row r="63" spans="1:15" ht="14.25">
      <c r="A63" s="74">
        <v>2013</v>
      </c>
      <c r="B63" s="75" t="s">
        <v>390</v>
      </c>
      <c r="C63" s="75" t="s">
        <v>391</v>
      </c>
      <c r="D63" s="76">
        <v>1425062</v>
      </c>
      <c r="E63" s="76">
        <v>2</v>
      </c>
      <c r="F63" s="76"/>
      <c r="G63" s="75">
        <v>510</v>
      </c>
      <c r="H63" s="75">
        <v>24</v>
      </c>
      <c r="I63" s="76" t="s">
        <v>407</v>
      </c>
      <c r="J63" s="76" t="s">
        <v>294</v>
      </c>
      <c r="K63" s="76" t="b">
        <v>1</v>
      </c>
      <c r="L63" s="72">
        <v>2015</v>
      </c>
      <c r="M63" s="73">
        <v>29036008</v>
      </c>
      <c r="N63" s="77">
        <v>41222</v>
      </c>
      <c r="O63" s="77">
        <v>41275</v>
      </c>
    </row>
    <row r="64" spans="1:15" ht="14.25">
      <c r="A64" s="74">
        <v>2013</v>
      </c>
      <c r="B64" s="75" t="s">
        <v>390</v>
      </c>
      <c r="C64" s="75" t="s">
        <v>391</v>
      </c>
      <c r="D64" s="76">
        <v>1425062</v>
      </c>
      <c r="E64" s="76">
        <v>2</v>
      </c>
      <c r="F64" s="76"/>
      <c r="G64" s="75">
        <v>420</v>
      </c>
      <c r="H64" s="75">
        <v>19</v>
      </c>
      <c r="I64" s="76" t="s">
        <v>396</v>
      </c>
      <c r="J64" s="76" t="s">
        <v>72</v>
      </c>
      <c r="K64" s="76" t="b">
        <v>1</v>
      </c>
      <c r="L64" s="72">
        <v>2018</v>
      </c>
      <c r="M64" s="73">
        <v>0.0649</v>
      </c>
      <c r="N64" s="77">
        <v>41222</v>
      </c>
      <c r="O64" s="77">
        <v>41275</v>
      </c>
    </row>
    <row r="65" spans="1:15" ht="14.25">
      <c r="A65" s="74">
        <v>2013</v>
      </c>
      <c r="B65" s="75" t="s">
        <v>390</v>
      </c>
      <c r="C65" s="75" t="s">
        <v>391</v>
      </c>
      <c r="D65" s="76">
        <v>1425062</v>
      </c>
      <c r="E65" s="76">
        <v>2</v>
      </c>
      <c r="F65" s="76"/>
      <c r="G65" s="75">
        <v>550</v>
      </c>
      <c r="H65" s="75">
        <v>28</v>
      </c>
      <c r="I65" s="76" t="s">
        <v>405</v>
      </c>
      <c r="J65" s="76" t="s">
        <v>47</v>
      </c>
      <c r="K65" s="76" t="b">
        <v>0</v>
      </c>
      <c r="L65" s="72">
        <v>2013</v>
      </c>
      <c r="M65" s="73">
        <v>630600</v>
      </c>
      <c r="N65" s="77">
        <v>41222</v>
      </c>
      <c r="O65" s="77">
        <v>41275</v>
      </c>
    </row>
    <row r="66" spans="1:15" ht="14.25">
      <c r="A66" s="74">
        <v>2013</v>
      </c>
      <c r="B66" s="75" t="s">
        <v>390</v>
      </c>
      <c r="C66" s="75" t="s">
        <v>391</v>
      </c>
      <c r="D66" s="76">
        <v>1425062</v>
      </c>
      <c r="E66" s="76">
        <v>2</v>
      </c>
      <c r="F66" s="76"/>
      <c r="G66" s="75">
        <v>430</v>
      </c>
      <c r="H66" s="75" t="s">
        <v>129</v>
      </c>
      <c r="I66" s="76" t="s">
        <v>399</v>
      </c>
      <c r="J66" s="76" t="s">
        <v>74</v>
      </c>
      <c r="K66" s="76" t="b">
        <v>0</v>
      </c>
      <c r="L66" s="72">
        <v>2019</v>
      </c>
      <c r="M66" s="73">
        <v>0.0734</v>
      </c>
      <c r="N66" s="77">
        <v>41222</v>
      </c>
      <c r="O66" s="77">
        <v>41275</v>
      </c>
    </row>
    <row r="67" spans="1:15" ht="14.25">
      <c r="A67" s="74">
        <v>2013</v>
      </c>
      <c r="B67" s="75" t="s">
        <v>390</v>
      </c>
      <c r="C67" s="75" t="s">
        <v>391</v>
      </c>
      <c r="D67" s="76">
        <v>1425062</v>
      </c>
      <c r="E67" s="76">
        <v>2</v>
      </c>
      <c r="F67" s="76"/>
      <c r="G67" s="75">
        <v>270</v>
      </c>
      <c r="H67" s="75">
        <v>10</v>
      </c>
      <c r="I67" s="76"/>
      <c r="J67" s="76" t="s">
        <v>17</v>
      </c>
      <c r="K67" s="76" t="b">
        <v>0</v>
      </c>
      <c r="L67" s="72">
        <v>2018</v>
      </c>
      <c r="M67" s="73">
        <v>706476</v>
      </c>
      <c r="N67" s="77">
        <v>41222</v>
      </c>
      <c r="O67" s="77">
        <v>41275</v>
      </c>
    </row>
    <row r="68" spans="1:15" ht="14.25">
      <c r="A68" s="74">
        <v>2013</v>
      </c>
      <c r="B68" s="75" t="s">
        <v>390</v>
      </c>
      <c r="C68" s="75" t="s">
        <v>391</v>
      </c>
      <c r="D68" s="76">
        <v>1425062</v>
      </c>
      <c r="E68" s="76">
        <v>2</v>
      </c>
      <c r="F68" s="76"/>
      <c r="G68" s="75">
        <v>560</v>
      </c>
      <c r="H68" s="75">
        <v>29</v>
      </c>
      <c r="I68" s="76" t="s">
        <v>408</v>
      </c>
      <c r="J68" s="76" t="s">
        <v>49</v>
      </c>
      <c r="K68" s="76" t="b">
        <v>0</v>
      </c>
      <c r="L68" s="72">
        <v>2013</v>
      </c>
      <c r="M68" s="73">
        <v>3040000</v>
      </c>
      <c r="N68" s="77">
        <v>41222</v>
      </c>
      <c r="O68" s="77">
        <v>41275</v>
      </c>
    </row>
    <row r="69" spans="1:15" ht="14.25">
      <c r="A69" s="74">
        <v>2013</v>
      </c>
      <c r="B69" s="75" t="s">
        <v>390</v>
      </c>
      <c r="C69" s="75" t="s">
        <v>391</v>
      </c>
      <c r="D69" s="76">
        <v>1425062</v>
      </c>
      <c r="E69" s="76">
        <v>2</v>
      </c>
      <c r="F69" s="76"/>
      <c r="G69" s="75">
        <v>440</v>
      </c>
      <c r="H69" s="75">
        <v>20</v>
      </c>
      <c r="I69" s="76" t="s">
        <v>403</v>
      </c>
      <c r="J69" s="76" t="s">
        <v>130</v>
      </c>
      <c r="K69" s="76" t="b">
        <v>1</v>
      </c>
      <c r="L69" s="72">
        <v>2020</v>
      </c>
      <c r="M69" s="73">
        <v>0.0599</v>
      </c>
      <c r="N69" s="77">
        <v>41222</v>
      </c>
      <c r="O69" s="77">
        <v>41275</v>
      </c>
    </row>
    <row r="70" spans="1:15" ht="14.25">
      <c r="A70" s="74">
        <v>2013</v>
      </c>
      <c r="B70" s="75" t="s">
        <v>390</v>
      </c>
      <c r="C70" s="75" t="s">
        <v>391</v>
      </c>
      <c r="D70" s="76">
        <v>1425062</v>
      </c>
      <c r="E70" s="76">
        <v>2</v>
      </c>
      <c r="F70" s="76"/>
      <c r="G70" s="75">
        <v>330</v>
      </c>
      <c r="H70" s="75">
        <v>13</v>
      </c>
      <c r="I70" s="76"/>
      <c r="J70" s="76" t="s">
        <v>277</v>
      </c>
      <c r="K70" s="76" t="b">
        <v>1</v>
      </c>
      <c r="L70" s="72">
        <v>2015</v>
      </c>
      <c r="M70" s="73">
        <v>11292508</v>
      </c>
      <c r="N70" s="77">
        <v>41222</v>
      </c>
      <c r="O70" s="77">
        <v>41275</v>
      </c>
    </row>
    <row r="71" spans="1:15" ht="14.25">
      <c r="A71" s="74">
        <v>2013</v>
      </c>
      <c r="B71" s="75" t="s">
        <v>390</v>
      </c>
      <c r="C71" s="75" t="s">
        <v>391</v>
      </c>
      <c r="D71" s="76">
        <v>1425062</v>
      </c>
      <c r="E71" s="76">
        <v>2</v>
      </c>
      <c r="F71" s="76"/>
      <c r="G71" s="75">
        <v>11</v>
      </c>
      <c r="H71" s="75" t="s">
        <v>99</v>
      </c>
      <c r="I71" s="76"/>
      <c r="J71" s="76" t="s">
        <v>100</v>
      </c>
      <c r="K71" s="76" t="b">
        <v>0</v>
      </c>
      <c r="L71" s="72">
        <v>2015</v>
      </c>
      <c r="M71" s="73">
        <v>3182961</v>
      </c>
      <c r="N71" s="77">
        <v>41222</v>
      </c>
      <c r="O71" s="77">
        <v>41275</v>
      </c>
    </row>
    <row r="72" spans="1:15" ht="14.25">
      <c r="A72" s="74">
        <v>2013</v>
      </c>
      <c r="B72" s="75" t="s">
        <v>390</v>
      </c>
      <c r="C72" s="75" t="s">
        <v>391</v>
      </c>
      <c r="D72" s="76">
        <v>1425062</v>
      </c>
      <c r="E72" s="76">
        <v>2</v>
      </c>
      <c r="F72" s="76"/>
      <c r="G72" s="75">
        <v>190</v>
      </c>
      <c r="H72" s="75">
        <v>6</v>
      </c>
      <c r="I72" s="76" t="s">
        <v>409</v>
      </c>
      <c r="J72" s="76" t="s">
        <v>111</v>
      </c>
      <c r="K72" s="76" t="b">
        <v>0</v>
      </c>
      <c r="L72" s="72">
        <v>2013</v>
      </c>
      <c r="M72" s="73">
        <v>5971063</v>
      </c>
      <c r="N72" s="77">
        <v>41222</v>
      </c>
      <c r="O72" s="77">
        <v>41275</v>
      </c>
    </row>
    <row r="73" spans="1:15" ht="14.25">
      <c r="A73" s="74">
        <v>2013</v>
      </c>
      <c r="B73" s="75" t="s">
        <v>390</v>
      </c>
      <c r="C73" s="75" t="s">
        <v>391</v>
      </c>
      <c r="D73" s="76">
        <v>1425062</v>
      </c>
      <c r="E73" s="76">
        <v>2</v>
      </c>
      <c r="F73" s="76"/>
      <c r="G73" s="75">
        <v>400</v>
      </c>
      <c r="H73" s="75">
        <v>18</v>
      </c>
      <c r="I73" s="76" t="s">
        <v>410</v>
      </c>
      <c r="J73" s="76" t="s">
        <v>69</v>
      </c>
      <c r="K73" s="76" t="b">
        <v>0</v>
      </c>
      <c r="L73" s="72">
        <v>2016</v>
      </c>
      <c r="M73" s="73">
        <v>0.3188</v>
      </c>
      <c r="N73" s="77">
        <v>41222</v>
      </c>
      <c r="O73" s="77">
        <v>41275</v>
      </c>
    </row>
    <row r="74" spans="1:15" ht="14.25">
      <c r="A74" s="74">
        <v>2013</v>
      </c>
      <c r="B74" s="75" t="s">
        <v>390</v>
      </c>
      <c r="C74" s="75" t="s">
        <v>391</v>
      </c>
      <c r="D74" s="76">
        <v>1425062</v>
      </c>
      <c r="E74" s="76">
        <v>2</v>
      </c>
      <c r="F74" s="76"/>
      <c r="G74" s="75">
        <v>440</v>
      </c>
      <c r="H74" s="75">
        <v>20</v>
      </c>
      <c r="I74" s="76" t="s">
        <v>403</v>
      </c>
      <c r="J74" s="76" t="s">
        <v>130</v>
      </c>
      <c r="K74" s="76" t="b">
        <v>1</v>
      </c>
      <c r="L74" s="72">
        <v>2016</v>
      </c>
      <c r="M74" s="73">
        <v>0.0766</v>
      </c>
      <c r="N74" s="77">
        <v>41222</v>
      </c>
      <c r="O74" s="77">
        <v>41275</v>
      </c>
    </row>
    <row r="75" spans="1:15" ht="14.25">
      <c r="A75" s="74">
        <v>2013</v>
      </c>
      <c r="B75" s="75" t="s">
        <v>390</v>
      </c>
      <c r="C75" s="75" t="s">
        <v>391</v>
      </c>
      <c r="D75" s="76">
        <v>1425062</v>
      </c>
      <c r="E75" s="76">
        <v>2</v>
      </c>
      <c r="F75" s="76"/>
      <c r="G75" s="75">
        <v>400</v>
      </c>
      <c r="H75" s="75">
        <v>18</v>
      </c>
      <c r="I75" s="76" t="s">
        <v>410</v>
      </c>
      <c r="J75" s="76" t="s">
        <v>69</v>
      </c>
      <c r="K75" s="76" t="b">
        <v>0</v>
      </c>
      <c r="L75" s="72">
        <v>2021</v>
      </c>
      <c r="M75" s="73">
        <v>0.0457</v>
      </c>
      <c r="N75" s="77">
        <v>41222</v>
      </c>
      <c r="O75" s="77">
        <v>41275</v>
      </c>
    </row>
    <row r="76" spans="1:15" ht="14.25">
      <c r="A76" s="74">
        <v>2013</v>
      </c>
      <c r="B76" s="75" t="s">
        <v>390</v>
      </c>
      <c r="C76" s="75" t="s">
        <v>391</v>
      </c>
      <c r="D76" s="76">
        <v>1425062</v>
      </c>
      <c r="E76" s="76">
        <v>2</v>
      </c>
      <c r="F76" s="76"/>
      <c r="G76" s="75">
        <v>530</v>
      </c>
      <c r="H76" s="75">
        <v>26</v>
      </c>
      <c r="I76" s="76" t="s">
        <v>395</v>
      </c>
      <c r="J76" s="76" t="s">
        <v>58</v>
      </c>
      <c r="K76" s="76" t="b">
        <v>1</v>
      </c>
      <c r="L76" s="72">
        <v>2015</v>
      </c>
      <c r="M76" s="73">
        <v>31567274</v>
      </c>
      <c r="N76" s="77">
        <v>41222</v>
      </c>
      <c r="O76" s="77">
        <v>41275</v>
      </c>
    </row>
    <row r="77" spans="1:15" ht="14.25">
      <c r="A77" s="74">
        <v>2013</v>
      </c>
      <c r="B77" s="75" t="s">
        <v>390</v>
      </c>
      <c r="C77" s="75" t="s">
        <v>391</v>
      </c>
      <c r="D77" s="76">
        <v>1425062</v>
      </c>
      <c r="E77" s="76">
        <v>2</v>
      </c>
      <c r="F77" s="76"/>
      <c r="G77" s="75">
        <v>570</v>
      </c>
      <c r="H77" s="75">
        <v>30</v>
      </c>
      <c r="I77" s="76" t="s">
        <v>404</v>
      </c>
      <c r="J77" s="76" t="s">
        <v>295</v>
      </c>
      <c r="K77" s="76" t="b">
        <v>0</v>
      </c>
      <c r="L77" s="72">
        <v>2021</v>
      </c>
      <c r="M77" s="73">
        <v>2566576</v>
      </c>
      <c r="N77" s="77">
        <v>41222</v>
      </c>
      <c r="O77" s="77">
        <v>41275</v>
      </c>
    </row>
    <row r="78" spans="1:15" ht="14.25">
      <c r="A78" s="74">
        <v>2013</v>
      </c>
      <c r="B78" s="75" t="s">
        <v>390</v>
      </c>
      <c r="C78" s="75" t="s">
        <v>391</v>
      </c>
      <c r="D78" s="76">
        <v>1425062</v>
      </c>
      <c r="E78" s="76">
        <v>2</v>
      </c>
      <c r="F78" s="76"/>
      <c r="G78" s="75">
        <v>430</v>
      </c>
      <c r="H78" s="75" t="s">
        <v>129</v>
      </c>
      <c r="I78" s="76" t="s">
        <v>399</v>
      </c>
      <c r="J78" s="76" t="s">
        <v>74</v>
      </c>
      <c r="K78" s="76" t="b">
        <v>0</v>
      </c>
      <c r="L78" s="72">
        <v>2020</v>
      </c>
      <c r="M78" s="73">
        <v>0.0203</v>
      </c>
      <c r="N78" s="77">
        <v>41222</v>
      </c>
      <c r="O78" s="77">
        <v>41275</v>
      </c>
    </row>
    <row r="79" spans="1:15" ht="14.25">
      <c r="A79" s="74">
        <v>2013</v>
      </c>
      <c r="B79" s="75" t="s">
        <v>390</v>
      </c>
      <c r="C79" s="75" t="s">
        <v>391</v>
      </c>
      <c r="D79" s="76">
        <v>1425062</v>
      </c>
      <c r="E79" s="76">
        <v>2</v>
      </c>
      <c r="F79" s="76"/>
      <c r="G79" s="75">
        <v>300</v>
      </c>
      <c r="H79" s="75">
        <v>11</v>
      </c>
      <c r="I79" s="76"/>
      <c r="J79" s="76" t="s">
        <v>62</v>
      </c>
      <c r="K79" s="76" t="b">
        <v>1</v>
      </c>
      <c r="L79" s="72">
        <v>2013</v>
      </c>
      <c r="M79" s="73">
        <v>3040000</v>
      </c>
      <c r="N79" s="77">
        <v>41222</v>
      </c>
      <c r="O79" s="77">
        <v>41275</v>
      </c>
    </row>
    <row r="80" spans="1:15" ht="14.25">
      <c r="A80" s="74">
        <v>2013</v>
      </c>
      <c r="B80" s="75" t="s">
        <v>390</v>
      </c>
      <c r="C80" s="75" t="s">
        <v>391</v>
      </c>
      <c r="D80" s="76">
        <v>1425062</v>
      </c>
      <c r="E80" s="76">
        <v>2</v>
      </c>
      <c r="F80" s="76"/>
      <c r="G80" s="75">
        <v>470</v>
      </c>
      <c r="H80" s="75" t="s">
        <v>132</v>
      </c>
      <c r="I80" s="76" t="s">
        <v>402</v>
      </c>
      <c r="J80" s="76" t="s">
        <v>289</v>
      </c>
      <c r="K80" s="76" t="b">
        <v>0</v>
      </c>
      <c r="L80" s="72">
        <v>2020</v>
      </c>
      <c r="M80" s="73">
        <v>592</v>
      </c>
      <c r="N80" s="77">
        <v>41222</v>
      </c>
      <c r="O80" s="77">
        <v>41275</v>
      </c>
    </row>
    <row r="81" spans="1:15" ht="14.25">
      <c r="A81" s="74">
        <v>2013</v>
      </c>
      <c r="B81" s="75" t="s">
        <v>390</v>
      </c>
      <c r="C81" s="75" t="s">
        <v>391</v>
      </c>
      <c r="D81" s="76">
        <v>1425062</v>
      </c>
      <c r="E81" s="76">
        <v>2</v>
      </c>
      <c r="F81" s="76"/>
      <c r="G81" s="75">
        <v>400</v>
      </c>
      <c r="H81" s="75">
        <v>18</v>
      </c>
      <c r="I81" s="76" t="s">
        <v>410</v>
      </c>
      <c r="J81" s="76" t="s">
        <v>69</v>
      </c>
      <c r="K81" s="76" t="b">
        <v>0</v>
      </c>
      <c r="L81" s="72">
        <v>2020</v>
      </c>
      <c r="M81" s="73">
        <v>0.1209</v>
      </c>
      <c r="N81" s="77">
        <v>41222</v>
      </c>
      <c r="O81" s="77">
        <v>41275</v>
      </c>
    </row>
    <row r="82" spans="1:15" ht="14.25">
      <c r="A82" s="74">
        <v>2013</v>
      </c>
      <c r="B82" s="75" t="s">
        <v>390</v>
      </c>
      <c r="C82" s="75" t="s">
        <v>391</v>
      </c>
      <c r="D82" s="76">
        <v>1425062</v>
      </c>
      <c r="E82" s="76">
        <v>2</v>
      </c>
      <c r="F82" s="76"/>
      <c r="G82" s="75">
        <v>280</v>
      </c>
      <c r="H82" s="75" t="s">
        <v>119</v>
      </c>
      <c r="I82" s="76"/>
      <c r="J82" s="76" t="s">
        <v>120</v>
      </c>
      <c r="K82" s="76" t="b">
        <v>0</v>
      </c>
      <c r="L82" s="72">
        <v>2014</v>
      </c>
      <c r="M82" s="73">
        <v>3211000</v>
      </c>
      <c r="N82" s="77">
        <v>41222</v>
      </c>
      <c r="O82" s="77">
        <v>41275</v>
      </c>
    </row>
    <row r="83" spans="1:15" ht="14.25">
      <c r="A83" s="74">
        <v>2013</v>
      </c>
      <c r="B83" s="75" t="s">
        <v>390</v>
      </c>
      <c r="C83" s="75" t="s">
        <v>391</v>
      </c>
      <c r="D83" s="76">
        <v>1425062</v>
      </c>
      <c r="E83" s="76">
        <v>2</v>
      </c>
      <c r="F83" s="76"/>
      <c r="G83" s="75">
        <v>260</v>
      </c>
      <c r="H83" s="75">
        <v>9</v>
      </c>
      <c r="I83" s="76" t="s">
        <v>398</v>
      </c>
      <c r="J83" s="76" t="s">
        <v>118</v>
      </c>
      <c r="K83" s="76" t="b">
        <v>0</v>
      </c>
      <c r="L83" s="72">
        <v>2017</v>
      </c>
      <c r="M83" s="73">
        <v>1000000</v>
      </c>
      <c r="N83" s="77">
        <v>41222</v>
      </c>
      <c r="O83" s="77">
        <v>41275</v>
      </c>
    </row>
    <row r="84" spans="1:15" ht="14.25">
      <c r="A84" s="74">
        <v>2013</v>
      </c>
      <c r="B84" s="75" t="s">
        <v>390</v>
      </c>
      <c r="C84" s="75" t="s">
        <v>391</v>
      </c>
      <c r="D84" s="76">
        <v>1425062</v>
      </c>
      <c r="E84" s="76">
        <v>2</v>
      </c>
      <c r="F84" s="76"/>
      <c r="G84" s="75">
        <v>471</v>
      </c>
      <c r="H84" s="75" t="s">
        <v>263</v>
      </c>
      <c r="I84" s="76" t="s">
        <v>402</v>
      </c>
      <c r="J84" s="76" t="s">
        <v>290</v>
      </c>
      <c r="K84" s="76" t="b">
        <v>0</v>
      </c>
      <c r="L84" s="72">
        <v>2022</v>
      </c>
      <c r="M84" s="73">
        <v>349</v>
      </c>
      <c r="N84" s="77">
        <v>41222</v>
      </c>
      <c r="O84" s="77">
        <v>41275</v>
      </c>
    </row>
    <row r="85" spans="1:15" ht="14.25">
      <c r="A85" s="74">
        <v>2013</v>
      </c>
      <c r="B85" s="75" t="s">
        <v>390</v>
      </c>
      <c r="C85" s="75" t="s">
        <v>391</v>
      </c>
      <c r="D85" s="76">
        <v>1425062</v>
      </c>
      <c r="E85" s="76">
        <v>2</v>
      </c>
      <c r="F85" s="76"/>
      <c r="G85" s="75">
        <v>460</v>
      </c>
      <c r="H85" s="75">
        <v>21</v>
      </c>
      <c r="I85" s="76" t="s">
        <v>392</v>
      </c>
      <c r="J85" s="76" t="s">
        <v>288</v>
      </c>
      <c r="K85" s="76" t="b">
        <v>1</v>
      </c>
      <c r="L85" s="72">
        <v>2016</v>
      </c>
      <c r="M85" s="73">
        <v>0.0584</v>
      </c>
      <c r="N85" s="77">
        <v>41222</v>
      </c>
      <c r="O85" s="77">
        <v>41275</v>
      </c>
    </row>
    <row r="86" spans="1:15" ht="14.25">
      <c r="A86" s="74">
        <v>2013</v>
      </c>
      <c r="B86" s="75" t="s">
        <v>390</v>
      </c>
      <c r="C86" s="75" t="s">
        <v>391</v>
      </c>
      <c r="D86" s="76">
        <v>1425062</v>
      </c>
      <c r="E86" s="76">
        <v>2</v>
      </c>
      <c r="F86" s="76"/>
      <c r="G86" s="75">
        <v>200</v>
      </c>
      <c r="H86" s="75">
        <v>7</v>
      </c>
      <c r="I86" s="76" t="s">
        <v>411</v>
      </c>
      <c r="J86" s="76" t="s">
        <v>11</v>
      </c>
      <c r="K86" s="76" t="b">
        <v>1</v>
      </c>
      <c r="L86" s="72">
        <v>2021</v>
      </c>
      <c r="M86" s="73">
        <v>2696576</v>
      </c>
      <c r="N86" s="77">
        <v>41222</v>
      </c>
      <c r="O86" s="77">
        <v>41275</v>
      </c>
    </row>
    <row r="87" spans="1:15" ht="14.25">
      <c r="A87" s="74">
        <v>2013</v>
      </c>
      <c r="B87" s="75" t="s">
        <v>390</v>
      </c>
      <c r="C87" s="75" t="s">
        <v>391</v>
      </c>
      <c r="D87" s="76">
        <v>1425062</v>
      </c>
      <c r="E87" s="76">
        <v>2</v>
      </c>
      <c r="F87" s="76"/>
      <c r="G87" s="75">
        <v>440</v>
      </c>
      <c r="H87" s="75">
        <v>20</v>
      </c>
      <c r="I87" s="76" t="s">
        <v>403</v>
      </c>
      <c r="J87" s="76" t="s">
        <v>130</v>
      </c>
      <c r="K87" s="76" t="b">
        <v>1</v>
      </c>
      <c r="L87" s="72">
        <v>2022</v>
      </c>
      <c r="M87" s="73">
        <v>0.0997</v>
      </c>
      <c r="N87" s="77">
        <v>41222</v>
      </c>
      <c r="O87" s="77">
        <v>41275</v>
      </c>
    </row>
    <row r="88" spans="1:15" ht="14.25">
      <c r="A88" s="74">
        <v>2013</v>
      </c>
      <c r="B88" s="75" t="s">
        <v>390</v>
      </c>
      <c r="C88" s="75" t="s">
        <v>391</v>
      </c>
      <c r="D88" s="76">
        <v>1425062</v>
      </c>
      <c r="E88" s="76">
        <v>2</v>
      </c>
      <c r="F88" s="76"/>
      <c r="G88" s="75">
        <v>480</v>
      </c>
      <c r="H88" s="75">
        <v>22</v>
      </c>
      <c r="I88" s="76" t="s">
        <v>412</v>
      </c>
      <c r="J88" s="76" t="s">
        <v>291</v>
      </c>
      <c r="K88" s="76" t="b">
        <v>0</v>
      </c>
      <c r="L88" s="72">
        <v>2020</v>
      </c>
      <c r="M88" s="73">
        <v>0.0203</v>
      </c>
      <c r="N88" s="77">
        <v>41222</v>
      </c>
      <c r="O88" s="77">
        <v>41275</v>
      </c>
    </row>
    <row r="89" spans="1:15" ht="14.25">
      <c r="A89" s="74">
        <v>2013</v>
      </c>
      <c r="B89" s="75" t="s">
        <v>390</v>
      </c>
      <c r="C89" s="75" t="s">
        <v>391</v>
      </c>
      <c r="D89" s="76">
        <v>1425062</v>
      </c>
      <c r="E89" s="76">
        <v>2</v>
      </c>
      <c r="F89" s="76"/>
      <c r="G89" s="75">
        <v>11</v>
      </c>
      <c r="H89" s="75" t="s">
        <v>99</v>
      </c>
      <c r="I89" s="76"/>
      <c r="J89" s="76" t="s">
        <v>100</v>
      </c>
      <c r="K89" s="76" t="b">
        <v>0</v>
      </c>
      <c r="L89" s="72">
        <v>2014</v>
      </c>
      <c r="M89" s="73">
        <v>3102301</v>
      </c>
      <c r="N89" s="77">
        <v>41222</v>
      </c>
      <c r="O89" s="77">
        <v>41275</v>
      </c>
    </row>
    <row r="90" spans="1:15" ht="14.25">
      <c r="A90" s="74">
        <v>2013</v>
      </c>
      <c r="B90" s="75" t="s">
        <v>390</v>
      </c>
      <c r="C90" s="75" t="s">
        <v>391</v>
      </c>
      <c r="D90" s="76">
        <v>1425062</v>
      </c>
      <c r="E90" s="76">
        <v>2</v>
      </c>
      <c r="F90" s="76"/>
      <c r="G90" s="75">
        <v>470</v>
      </c>
      <c r="H90" s="75" t="s">
        <v>132</v>
      </c>
      <c r="I90" s="76" t="s">
        <v>402</v>
      </c>
      <c r="J90" s="76" t="s">
        <v>289</v>
      </c>
      <c r="K90" s="76" t="b">
        <v>0</v>
      </c>
      <c r="L90" s="72">
        <v>2017</v>
      </c>
      <c r="M90" s="73">
        <v>162</v>
      </c>
      <c r="N90" s="77">
        <v>41222</v>
      </c>
      <c r="O90" s="77">
        <v>41275</v>
      </c>
    </row>
    <row r="91" spans="1:15" ht="14.25">
      <c r="A91" s="74">
        <v>2013</v>
      </c>
      <c r="B91" s="75" t="s">
        <v>390</v>
      </c>
      <c r="C91" s="75" t="s">
        <v>391</v>
      </c>
      <c r="D91" s="76">
        <v>1425062</v>
      </c>
      <c r="E91" s="76">
        <v>2</v>
      </c>
      <c r="F91" s="76"/>
      <c r="G91" s="75">
        <v>450</v>
      </c>
      <c r="H91" s="75" t="s">
        <v>131</v>
      </c>
      <c r="I91" s="76" t="s">
        <v>394</v>
      </c>
      <c r="J91" s="76" t="s">
        <v>52</v>
      </c>
      <c r="K91" s="76" t="b">
        <v>0</v>
      </c>
      <c r="L91" s="72">
        <v>2018</v>
      </c>
      <c r="M91" s="73">
        <v>0.0689</v>
      </c>
      <c r="N91" s="77">
        <v>41222</v>
      </c>
      <c r="O91" s="77">
        <v>41275</v>
      </c>
    </row>
    <row r="92" spans="1:15" ht="14.25">
      <c r="A92" s="74">
        <v>2013</v>
      </c>
      <c r="B92" s="75" t="s">
        <v>390</v>
      </c>
      <c r="C92" s="75" t="s">
        <v>391</v>
      </c>
      <c r="D92" s="76">
        <v>1425062</v>
      </c>
      <c r="E92" s="76">
        <v>2</v>
      </c>
      <c r="F92" s="76"/>
      <c r="G92" s="75">
        <v>230</v>
      </c>
      <c r="H92" s="75" t="s">
        <v>115</v>
      </c>
      <c r="I92" s="76"/>
      <c r="J92" s="76" t="s">
        <v>275</v>
      </c>
      <c r="K92" s="76" t="b">
        <v>1</v>
      </c>
      <c r="L92" s="72">
        <v>2018</v>
      </c>
      <c r="M92" s="73">
        <v>250000</v>
      </c>
      <c r="N92" s="77">
        <v>41222</v>
      </c>
      <c r="O92" s="77">
        <v>41275</v>
      </c>
    </row>
    <row r="93" spans="1:15" ht="14.25">
      <c r="A93" s="74">
        <v>2013</v>
      </c>
      <c r="B93" s="75" t="s">
        <v>390</v>
      </c>
      <c r="C93" s="75" t="s">
        <v>391</v>
      </c>
      <c r="D93" s="76">
        <v>1425062</v>
      </c>
      <c r="E93" s="76">
        <v>2</v>
      </c>
      <c r="F93" s="76"/>
      <c r="G93" s="75">
        <v>240</v>
      </c>
      <c r="H93" s="75" t="s">
        <v>116</v>
      </c>
      <c r="I93" s="76"/>
      <c r="J93" s="76" t="s">
        <v>276</v>
      </c>
      <c r="K93" s="76" t="b">
        <v>1</v>
      </c>
      <c r="L93" s="72">
        <v>2017</v>
      </c>
      <c r="M93" s="73">
        <v>350000</v>
      </c>
      <c r="N93" s="77">
        <v>41222</v>
      </c>
      <c r="O93" s="77">
        <v>41275</v>
      </c>
    </row>
    <row r="94" spans="1:15" ht="14.25">
      <c r="A94" s="74">
        <v>2013</v>
      </c>
      <c r="B94" s="75" t="s">
        <v>390</v>
      </c>
      <c r="C94" s="75" t="s">
        <v>391</v>
      </c>
      <c r="D94" s="76">
        <v>1425062</v>
      </c>
      <c r="E94" s="76">
        <v>2</v>
      </c>
      <c r="F94" s="76"/>
      <c r="G94" s="75">
        <v>260</v>
      </c>
      <c r="H94" s="75">
        <v>9</v>
      </c>
      <c r="I94" s="76" t="s">
        <v>398</v>
      </c>
      <c r="J94" s="76" t="s">
        <v>118</v>
      </c>
      <c r="K94" s="76" t="b">
        <v>0</v>
      </c>
      <c r="L94" s="72">
        <v>2020</v>
      </c>
      <c r="M94" s="73">
        <v>1610059</v>
      </c>
      <c r="N94" s="77">
        <v>41222</v>
      </c>
      <c r="O94" s="77">
        <v>41275</v>
      </c>
    </row>
    <row r="95" spans="1:15" ht="14.25">
      <c r="A95" s="74">
        <v>2013</v>
      </c>
      <c r="B95" s="75" t="s">
        <v>390</v>
      </c>
      <c r="C95" s="75" t="s">
        <v>391</v>
      </c>
      <c r="D95" s="76">
        <v>1425062</v>
      </c>
      <c r="E95" s="76">
        <v>2</v>
      </c>
      <c r="F95" s="76"/>
      <c r="G95" s="75">
        <v>540</v>
      </c>
      <c r="H95" s="75">
        <v>27</v>
      </c>
      <c r="I95" s="76" t="s">
        <v>400</v>
      </c>
      <c r="J95" s="76" t="s">
        <v>45</v>
      </c>
      <c r="K95" s="76" t="b">
        <v>0</v>
      </c>
      <c r="L95" s="72">
        <v>2021</v>
      </c>
      <c r="M95" s="73">
        <v>34453073</v>
      </c>
      <c r="N95" s="77">
        <v>41222</v>
      </c>
      <c r="O95" s="77">
        <v>41275</v>
      </c>
    </row>
    <row r="96" spans="1:15" ht="14.25">
      <c r="A96" s="74">
        <v>2013</v>
      </c>
      <c r="B96" s="75" t="s">
        <v>390</v>
      </c>
      <c r="C96" s="75" t="s">
        <v>391</v>
      </c>
      <c r="D96" s="76">
        <v>1425062</v>
      </c>
      <c r="E96" s="76">
        <v>2</v>
      </c>
      <c r="F96" s="76"/>
      <c r="G96" s="75">
        <v>570</v>
      </c>
      <c r="H96" s="75">
        <v>30</v>
      </c>
      <c r="I96" s="76" t="s">
        <v>404</v>
      </c>
      <c r="J96" s="76" t="s">
        <v>295</v>
      </c>
      <c r="K96" s="76" t="b">
        <v>0</v>
      </c>
      <c r="L96" s="72">
        <v>2017</v>
      </c>
      <c r="M96" s="73">
        <v>1694000</v>
      </c>
      <c r="N96" s="77">
        <v>41222</v>
      </c>
      <c r="O96" s="77">
        <v>41275</v>
      </c>
    </row>
    <row r="97" spans="1:15" ht="14.25">
      <c r="A97" s="74">
        <v>2013</v>
      </c>
      <c r="B97" s="75" t="s">
        <v>390</v>
      </c>
      <c r="C97" s="75" t="s">
        <v>391</v>
      </c>
      <c r="D97" s="76">
        <v>1425062</v>
      </c>
      <c r="E97" s="76">
        <v>2</v>
      </c>
      <c r="F97" s="76"/>
      <c r="G97" s="75">
        <v>520</v>
      </c>
      <c r="H97" s="75">
        <v>25</v>
      </c>
      <c r="I97" s="76" t="s">
        <v>393</v>
      </c>
      <c r="J97" s="76" t="s">
        <v>48</v>
      </c>
      <c r="K97" s="76" t="b">
        <v>1</v>
      </c>
      <c r="L97" s="72">
        <v>2013</v>
      </c>
      <c r="M97" s="73">
        <v>3539046</v>
      </c>
      <c r="N97" s="77">
        <v>41222</v>
      </c>
      <c r="O97" s="77">
        <v>41275</v>
      </c>
    </row>
    <row r="98" spans="1:15" ht="14.25">
      <c r="A98" s="74">
        <v>2013</v>
      </c>
      <c r="B98" s="75" t="s">
        <v>390</v>
      </c>
      <c r="C98" s="75" t="s">
        <v>391</v>
      </c>
      <c r="D98" s="76">
        <v>1425062</v>
      </c>
      <c r="E98" s="76">
        <v>2</v>
      </c>
      <c r="F98" s="76"/>
      <c r="G98" s="75">
        <v>491</v>
      </c>
      <c r="H98" s="75" t="s">
        <v>264</v>
      </c>
      <c r="I98" s="76" t="s">
        <v>397</v>
      </c>
      <c r="J98" s="76" t="s">
        <v>293</v>
      </c>
      <c r="K98" s="76" t="b">
        <v>0</v>
      </c>
      <c r="L98" s="72">
        <v>2014</v>
      </c>
      <c r="M98" s="73">
        <v>277</v>
      </c>
      <c r="N98" s="77">
        <v>41222</v>
      </c>
      <c r="O98" s="77">
        <v>41275</v>
      </c>
    </row>
    <row r="99" spans="1:15" ht="14.25">
      <c r="A99" s="74">
        <v>2013</v>
      </c>
      <c r="B99" s="75" t="s">
        <v>390</v>
      </c>
      <c r="C99" s="75" t="s">
        <v>391</v>
      </c>
      <c r="D99" s="76">
        <v>1425062</v>
      </c>
      <c r="E99" s="76">
        <v>2</v>
      </c>
      <c r="F99" s="76"/>
      <c r="G99" s="75">
        <v>570</v>
      </c>
      <c r="H99" s="75">
        <v>30</v>
      </c>
      <c r="I99" s="76" t="s">
        <v>404</v>
      </c>
      <c r="J99" s="76" t="s">
        <v>295</v>
      </c>
      <c r="K99" s="76" t="b">
        <v>0</v>
      </c>
      <c r="L99" s="72">
        <v>2013</v>
      </c>
      <c r="M99" s="73">
        <v>3670600</v>
      </c>
      <c r="N99" s="77">
        <v>41222</v>
      </c>
      <c r="O99" s="77">
        <v>41275</v>
      </c>
    </row>
    <row r="100" spans="1:15" ht="14.25">
      <c r="A100" s="74">
        <v>2013</v>
      </c>
      <c r="B100" s="75" t="s">
        <v>390</v>
      </c>
      <c r="C100" s="75" t="s">
        <v>391</v>
      </c>
      <c r="D100" s="76">
        <v>1425062</v>
      </c>
      <c r="E100" s="76">
        <v>2</v>
      </c>
      <c r="F100" s="76"/>
      <c r="G100" s="75">
        <v>520</v>
      </c>
      <c r="H100" s="75">
        <v>25</v>
      </c>
      <c r="I100" s="76" t="s">
        <v>393</v>
      </c>
      <c r="J100" s="76" t="s">
        <v>48</v>
      </c>
      <c r="K100" s="76" t="b">
        <v>1</v>
      </c>
      <c r="L100" s="72">
        <v>2016</v>
      </c>
      <c r="M100" s="73">
        <v>2606833</v>
      </c>
      <c r="N100" s="77">
        <v>41222</v>
      </c>
      <c r="O100" s="77">
        <v>41275</v>
      </c>
    </row>
    <row r="101" spans="1:15" ht="14.25">
      <c r="A101" s="74">
        <v>2013</v>
      </c>
      <c r="B101" s="75" t="s">
        <v>390</v>
      </c>
      <c r="C101" s="75" t="s">
        <v>391</v>
      </c>
      <c r="D101" s="76">
        <v>1425062</v>
      </c>
      <c r="E101" s="76">
        <v>2</v>
      </c>
      <c r="F101" s="76"/>
      <c r="G101" s="75">
        <v>420</v>
      </c>
      <c r="H101" s="75">
        <v>19</v>
      </c>
      <c r="I101" s="76" t="s">
        <v>396</v>
      </c>
      <c r="J101" s="76" t="s">
        <v>72</v>
      </c>
      <c r="K101" s="76" t="b">
        <v>1</v>
      </c>
      <c r="L101" s="72">
        <v>2014</v>
      </c>
      <c r="M101" s="73">
        <v>0.0442</v>
      </c>
      <c r="N101" s="77">
        <v>41222</v>
      </c>
      <c r="O101" s="77">
        <v>41275</v>
      </c>
    </row>
    <row r="102" spans="1:15" ht="14.25">
      <c r="A102" s="74">
        <v>2013</v>
      </c>
      <c r="B102" s="75" t="s">
        <v>390</v>
      </c>
      <c r="C102" s="75" t="s">
        <v>391</v>
      </c>
      <c r="D102" s="76">
        <v>1425062</v>
      </c>
      <c r="E102" s="76">
        <v>2</v>
      </c>
      <c r="F102" s="76"/>
      <c r="G102" s="75">
        <v>450</v>
      </c>
      <c r="H102" s="75" t="s">
        <v>131</v>
      </c>
      <c r="I102" s="76" t="s">
        <v>394</v>
      </c>
      <c r="J102" s="76" t="s">
        <v>52</v>
      </c>
      <c r="K102" s="76" t="b">
        <v>0</v>
      </c>
      <c r="L102" s="72">
        <v>2017</v>
      </c>
      <c r="M102" s="73">
        <v>0.078</v>
      </c>
      <c r="N102" s="77">
        <v>41222</v>
      </c>
      <c r="O102" s="77">
        <v>41275</v>
      </c>
    </row>
    <row r="103" spans="1:15" ht="14.25">
      <c r="A103" s="74">
        <v>2013</v>
      </c>
      <c r="B103" s="75" t="s">
        <v>390</v>
      </c>
      <c r="C103" s="75" t="s">
        <v>391</v>
      </c>
      <c r="D103" s="76">
        <v>1425062</v>
      </c>
      <c r="E103" s="76">
        <v>2</v>
      </c>
      <c r="F103" s="76"/>
      <c r="G103" s="75">
        <v>15</v>
      </c>
      <c r="H103" s="75" t="s">
        <v>104</v>
      </c>
      <c r="I103" s="76"/>
      <c r="J103" s="76" t="s">
        <v>105</v>
      </c>
      <c r="K103" s="76" t="b">
        <v>0</v>
      </c>
      <c r="L103" s="72">
        <v>2013</v>
      </c>
      <c r="M103" s="73">
        <v>1200000</v>
      </c>
      <c r="N103" s="77">
        <v>41222</v>
      </c>
      <c r="O103" s="77">
        <v>41275</v>
      </c>
    </row>
    <row r="104" spans="1:15" ht="14.25">
      <c r="A104" s="74">
        <v>2013</v>
      </c>
      <c r="B104" s="75" t="s">
        <v>390</v>
      </c>
      <c r="C104" s="75" t="s">
        <v>391</v>
      </c>
      <c r="D104" s="76">
        <v>1425062</v>
      </c>
      <c r="E104" s="76">
        <v>2</v>
      </c>
      <c r="F104" s="76"/>
      <c r="G104" s="75">
        <v>370</v>
      </c>
      <c r="H104" s="75">
        <v>16</v>
      </c>
      <c r="I104" s="76"/>
      <c r="J104" s="76" t="s">
        <v>126</v>
      </c>
      <c r="K104" s="76" t="b">
        <v>1</v>
      </c>
      <c r="L104" s="72">
        <v>2021</v>
      </c>
      <c r="M104" s="73">
        <v>2566576</v>
      </c>
      <c r="N104" s="77">
        <v>41222</v>
      </c>
      <c r="O104" s="77">
        <v>41275</v>
      </c>
    </row>
    <row r="105" spans="1:15" ht="14.25">
      <c r="A105" s="74">
        <v>2013</v>
      </c>
      <c r="B105" s="75" t="s">
        <v>390</v>
      </c>
      <c r="C105" s="75" t="s">
        <v>391</v>
      </c>
      <c r="D105" s="76">
        <v>1425062</v>
      </c>
      <c r="E105" s="76">
        <v>2</v>
      </c>
      <c r="F105" s="76"/>
      <c r="G105" s="75">
        <v>15</v>
      </c>
      <c r="H105" s="75" t="s">
        <v>104</v>
      </c>
      <c r="I105" s="76"/>
      <c r="J105" s="76" t="s">
        <v>105</v>
      </c>
      <c r="K105" s="76" t="b">
        <v>0</v>
      </c>
      <c r="L105" s="72">
        <v>2014</v>
      </c>
      <c r="M105" s="73">
        <v>1280000</v>
      </c>
      <c r="N105" s="77">
        <v>41222</v>
      </c>
      <c r="O105" s="77">
        <v>41275</v>
      </c>
    </row>
    <row r="106" spans="1:15" ht="14.25">
      <c r="A106" s="74">
        <v>2013</v>
      </c>
      <c r="B106" s="75" t="s">
        <v>390</v>
      </c>
      <c r="C106" s="75" t="s">
        <v>391</v>
      </c>
      <c r="D106" s="76">
        <v>1425062</v>
      </c>
      <c r="E106" s="76">
        <v>2</v>
      </c>
      <c r="F106" s="76"/>
      <c r="G106" s="75">
        <v>9</v>
      </c>
      <c r="H106" s="75">
        <v>2</v>
      </c>
      <c r="I106" s="76"/>
      <c r="J106" s="76" t="s">
        <v>3</v>
      </c>
      <c r="K106" s="76" t="b">
        <v>1</v>
      </c>
      <c r="L106" s="72">
        <v>2020</v>
      </c>
      <c r="M106" s="73">
        <v>32914948</v>
      </c>
      <c r="N106" s="77">
        <v>41222</v>
      </c>
      <c r="O106" s="77">
        <v>41275</v>
      </c>
    </row>
    <row r="107" spans="1:15" ht="14.25">
      <c r="A107" s="74">
        <v>2013</v>
      </c>
      <c r="B107" s="75" t="s">
        <v>390</v>
      </c>
      <c r="C107" s="75" t="s">
        <v>391</v>
      </c>
      <c r="D107" s="76">
        <v>1425062</v>
      </c>
      <c r="E107" s="76">
        <v>2</v>
      </c>
      <c r="F107" s="76"/>
      <c r="G107" s="75">
        <v>410</v>
      </c>
      <c r="H107" s="75" t="s">
        <v>128</v>
      </c>
      <c r="I107" s="76" t="s">
        <v>413</v>
      </c>
      <c r="J107" s="76" t="s">
        <v>71</v>
      </c>
      <c r="K107" s="76" t="b">
        <v>0</v>
      </c>
      <c r="L107" s="72">
        <v>2020</v>
      </c>
      <c r="M107" s="73">
        <v>0.1209</v>
      </c>
      <c r="N107" s="77">
        <v>41222</v>
      </c>
      <c r="O107" s="77">
        <v>41275</v>
      </c>
    </row>
    <row r="108" spans="1:15" ht="14.25">
      <c r="A108" s="74">
        <v>2013</v>
      </c>
      <c r="B108" s="75" t="s">
        <v>390</v>
      </c>
      <c r="C108" s="75" t="s">
        <v>391</v>
      </c>
      <c r="D108" s="76">
        <v>1425062</v>
      </c>
      <c r="E108" s="76">
        <v>2</v>
      </c>
      <c r="F108" s="76"/>
      <c r="G108" s="75">
        <v>330</v>
      </c>
      <c r="H108" s="75">
        <v>13</v>
      </c>
      <c r="I108" s="76"/>
      <c r="J108" s="76" t="s">
        <v>277</v>
      </c>
      <c r="K108" s="76" t="b">
        <v>1</v>
      </c>
      <c r="L108" s="72">
        <v>2019</v>
      </c>
      <c r="M108" s="73">
        <v>4760211</v>
      </c>
      <c r="N108" s="77">
        <v>41222</v>
      </c>
      <c r="O108" s="77">
        <v>41275</v>
      </c>
    </row>
    <row r="109" spans="1:15" ht="14.25">
      <c r="A109" s="74">
        <v>2013</v>
      </c>
      <c r="B109" s="75" t="s">
        <v>390</v>
      </c>
      <c r="C109" s="75" t="s">
        <v>391</v>
      </c>
      <c r="D109" s="76">
        <v>1425062</v>
      </c>
      <c r="E109" s="76">
        <v>2</v>
      </c>
      <c r="F109" s="76"/>
      <c r="G109" s="75">
        <v>9</v>
      </c>
      <c r="H109" s="75">
        <v>2</v>
      </c>
      <c r="I109" s="76"/>
      <c r="J109" s="76" t="s">
        <v>3</v>
      </c>
      <c r="K109" s="76" t="b">
        <v>1</v>
      </c>
      <c r="L109" s="72">
        <v>2016</v>
      </c>
      <c r="M109" s="73">
        <v>29008344</v>
      </c>
      <c r="N109" s="77">
        <v>41222</v>
      </c>
      <c r="O109" s="77">
        <v>41275</v>
      </c>
    </row>
    <row r="110" spans="1:15" ht="14.25">
      <c r="A110" s="74">
        <v>2013</v>
      </c>
      <c r="B110" s="75" t="s">
        <v>390</v>
      </c>
      <c r="C110" s="75" t="s">
        <v>391</v>
      </c>
      <c r="D110" s="76">
        <v>1425062</v>
      </c>
      <c r="E110" s="76">
        <v>2</v>
      </c>
      <c r="F110" s="76"/>
      <c r="G110" s="75">
        <v>550</v>
      </c>
      <c r="H110" s="75">
        <v>28</v>
      </c>
      <c r="I110" s="76" t="s">
        <v>405</v>
      </c>
      <c r="J110" s="76" t="s">
        <v>47</v>
      </c>
      <c r="K110" s="76" t="b">
        <v>0</v>
      </c>
      <c r="L110" s="72">
        <v>2018</v>
      </c>
      <c r="M110" s="73">
        <v>1950000</v>
      </c>
      <c r="N110" s="77">
        <v>41222</v>
      </c>
      <c r="O110" s="77">
        <v>41275</v>
      </c>
    </row>
    <row r="111" spans="1:15" ht="14.25">
      <c r="A111" s="74">
        <v>2013</v>
      </c>
      <c r="B111" s="75" t="s">
        <v>390</v>
      </c>
      <c r="C111" s="75" t="s">
        <v>391</v>
      </c>
      <c r="D111" s="76">
        <v>1425062</v>
      </c>
      <c r="E111" s="76">
        <v>2</v>
      </c>
      <c r="F111" s="76"/>
      <c r="G111" s="75">
        <v>10</v>
      </c>
      <c r="H111" s="75" t="s">
        <v>97</v>
      </c>
      <c r="I111" s="76"/>
      <c r="J111" s="76" t="s">
        <v>98</v>
      </c>
      <c r="K111" s="76" t="b">
        <v>0</v>
      </c>
      <c r="L111" s="72">
        <v>2016</v>
      </c>
      <c r="M111" s="73">
        <v>16392342</v>
      </c>
      <c r="N111" s="77">
        <v>41222</v>
      </c>
      <c r="O111" s="77">
        <v>41275</v>
      </c>
    </row>
    <row r="112" spans="1:15" ht="14.25">
      <c r="A112" s="74">
        <v>2013</v>
      </c>
      <c r="B112" s="75" t="s">
        <v>390</v>
      </c>
      <c r="C112" s="75" t="s">
        <v>391</v>
      </c>
      <c r="D112" s="76">
        <v>1425062</v>
      </c>
      <c r="E112" s="76">
        <v>2</v>
      </c>
      <c r="F112" s="76"/>
      <c r="G112" s="75">
        <v>491</v>
      </c>
      <c r="H112" s="75" t="s">
        <v>264</v>
      </c>
      <c r="I112" s="76" t="s">
        <v>397</v>
      </c>
      <c r="J112" s="76" t="s">
        <v>293</v>
      </c>
      <c r="K112" s="76" t="b">
        <v>0</v>
      </c>
      <c r="L112" s="72">
        <v>2020</v>
      </c>
      <c r="M112" s="73">
        <v>592</v>
      </c>
      <c r="N112" s="77">
        <v>41222</v>
      </c>
      <c r="O112" s="77">
        <v>41275</v>
      </c>
    </row>
    <row r="113" spans="1:15" ht="14.25">
      <c r="A113" s="74">
        <v>2013</v>
      </c>
      <c r="B113" s="75" t="s">
        <v>390</v>
      </c>
      <c r="C113" s="75" t="s">
        <v>391</v>
      </c>
      <c r="D113" s="76">
        <v>1425062</v>
      </c>
      <c r="E113" s="76">
        <v>2</v>
      </c>
      <c r="F113" s="76"/>
      <c r="G113" s="75">
        <v>560</v>
      </c>
      <c r="H113" s="75">
        <v>29</v>
      </c>
      <c r="I113" s="76" t="s">
        <v>408</v>
      </c>
      <c r="J113" s="76" t="s">
        <v>49</v>
      </c>
      <c r="K113" s="76" t="b">
        <v>0</v>
      </c>
      <c r="L113" s="72">
        <v>2016</v>
      </c>
      <c r="M113" s="73">
        <v>1061703</v>
      </c>
      <c r="N113" s="77">
        <v>41222</v>
      </c>
      <c r="O113" s="77">
        <v>41275</v>
      </c>
    </row>
    <row r="114" spans="1:15" ht="14.25">
      <c r="A114" s="74">
        <v>2013</v>
      </c>
      <c r="B114" s="75" t="s">
        <v>390</v>
      </c>
      <c r="C114" s="75" t="s">
        <v>391</v>
      </c>
      <c r="D114" s="76">
        <v>1425062</v>
      </c>
      <c r="E114" s="76">
        <v>2</v>
      </c>
      <c r="F114" s="76"/>
      <c r="G114" s="75">
        <v>260</v>
      </c>
      <c r="H114" s="75">
        <v>9</v>
      </c>
      <c r="I114" s="76" t="s">
        <v>398</v>
      </c>
      <c r="J114" s="76" t="s">
        <v>118</v>
      </c>
      <c r="K114" s="76" t="b">
        <v>0</v>
      </c>
      <c r="L114" s="72">
        <v>2018</v>
      </c>
      <c r="M114" s="73">
        <v>706476</v>
      </c>
      <c r="N114" s="77">
        <v>41222</v>
      </c>
      <c r="O114" s="77">
        <v>41275</v>
      </c>
    </row>
    <row r="115" spans="1:15" ht="14.25">
      <c r="A115" s="74">
        <v>2013</v>
      </c>
      <c r="B115" s="75" t="s">
        <v>390</v>
      </c>
      <c r="C115" s="75" t="s">
        <v>391</v>
      </c>
      <c r="D115" s="76">
        <v>1425062</v>
      </c>
      <c r="E115" s="76">
        <v>2</v>
      </c>
      <c r="F115" s="76"/>
      <c r="G115" s="75">
        <v>450</v>
      </c>
      <c r="H115" s="75" t="s">
        <v>131</v>
      </c>
      <c r="I115" s="76" t="s">
        <v>394</v>
      </c>
      <c r="J115" s="76" t="s">
        <v>52</v>
      </c>
      <c r="K115" s="76" t="b">
        <v>0</v>
      </c>
      <c r="L115" s="72">
        <v>2022</v>
      </c>
      <c r="M115" s="73">
        <v>0.0825</v>
      </c>
      <c r="N115" s="77">
        <v>41222</v>
      </c>
      <c r="O115" s="77">
        <v>41275</v>
      </c>
    </row>
    <row r="116" spans="1:15" ht="14.25">
      <c r="A116" s="74">
        <v>2013</v>
      </c>
      <c r="B116" s="75" t="s">
        <v>390</v>
      </c>
      <c r="C116" s="75" t="s">
        <v>391</v>
      </c>
      <c r="D116" s="76">
        <v>1425062</v>
      </c>
      <c r="E116" s="76">
        <v>2</v>
      </c>
      <c r="F116" s="76"/>
      <c r="G116" s="75">
        <v>430</v>
      </c>
      <c r="H116" s="75" t="s">
        <v>129</v>
      </c>
      <c r="I116" s="76" t="s">
        <v>399</v>
      </c>
      <c r="J116" s="76" t="s">
        <v>74</v>
      </c>
      <c r="K116" s="76" t="b">
        <v>0</v>
      </c>
      <c r="L116" s="72">
        <v>2018</v>
      </c>
      <c r="M116" s="73">
        <v>0.0649</v>
      </c>
      <c r="N116" s="77">
        <v>41222</v>
      </c>
      <c r="O116" s="77">
        <v>41275</v>
      </c>
    </row>
    <row r="117" spans="1:15" ht="14.25">
      <c r="A117" s="74">
        <v>2013</v>
      </c>
      <c r="B117" s="75" t="s">
        <v>390</v>
      </c>
      <c r="C117" s="75" t="s">
        <v>391</v>
      </c>
      <c r="D117" s="76">
        <v>1425062</v>
      </c>
      <c r="E117" s="76">
        <v>2</v>
      </c>
      <c r="F117" s="76"/>
      <c r="G117" s="75">
        <v>560</v>
      </c>
      <c r="H117" s="75">
        <v>29</v>
      </c>
      <c r="I117" s="76" t="s">
        <v>408</v>
      </c>
      <c r="J117" s="76" t="s">
        <v>49</v>
      </c>
      <c r="K117" s="76" t="b">
        <v>0</v>
      </c>
      <c r="L117" s="72">
        <v>2015</v>
      </c>
      <c r="M117" s="73">
        <v>985634</v>
      </c>
      <c r="N117" s="77">
        <v>41222</v>
      </c>
      <c r="O117" s="77">
        <v>41275</v>
      </c>
    </row>
    <row r="118" spans="1:15" ht="14.25">
      <c r="A118" s="74">
        <v>2013</v>
      </c>
      <c r="B118" s="75" t="s">
        <v>390</v>
      </c>
      <c r="C118" s="75" t="s">
        <v>391</v>
      </c>
      <c r="D118" s="76">
        <v>1425062</v>
      </c>
      <c r="E118" s="76">
        <v>2</v>
      </c>
      <c r="F118" s="76"/>
      <c r="G118" s="75">
        <v>460</v>
      </c>
      <c r="H118" s="75">
        <v>21</v>
      </c>
      <c r="I118" s="76" t="s">
        <v>392</v>
      </c>
      <c r="J118" s="76" t="s">
        <v>288</v>
      </c>
      <c r="K118" s="76" t="b">
        <v>1</v>
      </c>
      <c r="L118" s="72">
        <v>2020</v>
      </c>
      <c r="M118" s="73">
        <v>0.0203</v>
      </c>
      <c r="N118" s="77">
        <v>41222</v>
      </c>
      <c r="O118" s="77">
        <v>41275</v>
      </c>
    </row>
    <row r="119" spans="1:15" ht="14.25">
      <c r="A119" s="74">
        <v>2013</v>
      </c>
      <c r="B119" s="75" t="s">
        <v>390</v>
      </c>
      <c r="C119" s="75" t="s">
        <v>391</v>
      </c>
      <c r="D119" s="76">
        <v>1425062</v>
      </c>
      <c r="E119" s="76">
        <v>2</v>
      </c>
      <c r="F119" s="76"/>
      <c r="G119" s="75">
        <v>520</v>
      </c>
      <c r="H119" s="75">
        <v>25</v>
      </c>
      <c r="I119" s="76" t="s">
        <v>393</v>
      </c>
      <c r="J119" s="76" t="s">
        <v>48</v>
      </c>
      <c r="K119" s="76" t="b">
        <v>1</v>
      </c>
      <c r="L119" s="72">
        <v>2015</v>
      </c>
      <c r="M119" s="73">
        <v>2021266</v>
      </c>
      <c r="N119" s="77">
        <v>41222</v>
      </c>
      <c r="O119" s="77">
        <v>41275</v>
      </c>
    </row>
    <row r="120" spans="1:15" ht="14.25">
      <c r="A120" s="74">
        <v>2013</v>
      </c>
      <c r="B120" s="75" t="s">
        <v>390</v>
      </c>
      <c r="C120" s="75" t="s">
        <v>391</v>
      </c>
      <c r="D120" s="76">
        <v>1425062</v>
      </c>
      <c r="E120" s="76">
        <v>2</v>
      </c>
      <c r="F120" s="76"/>
      <c r="G120" s="75">
        <v>500</v>
      </c>
      <c r="H120" s="75">
        <v>23</v>
      </c>
      <c r="I120" s="76" t="s">
        <v>414</v>
      </c>
      <c r="J120" s="76" t="s">
        <v>59</v>
      </c>
      <c r="K120" s="76" t="b">
        <v>1</v>
      </c>
      <c r="L120" s="72">
        <v>2016</v>
      </c>
      <c r="M120" s="73">
        <v>32115177</v>
      </c>
      <c r="N120" s="77">
        <v>41222</v>
      </c>
      <c r="O120" s="77">
        <v>41275</v>
      </c>
    </row>
    <row r="121" spans="1:15" ht="14.25">
      <c r="A121" s="74">
        <v>2013</v>
      </c>
      <c r="B121" s="75" t="s">
        <v>390</v>
      </c>
      <c r="C121" s="75" t="s">
        <v>391</v>
      </c>
      <c r="D121" s="76">
        <v>1425062</v>
      </c>
      <c r="E121" s="76">
        <v>2</v>
      </c>
      <c r="F121" s="76"/>
      <c r="G121" s="75">
        <v>190</v>
      </c>
      <c r="H121" s="75">
        <v>6</v>
      </c>
      <c r="I121" s="76" t="s">
        <v>409</v>
      </c>
      <c r="J121" s="76" t="s">
        <v>111</v>
      </c>
      <c r="K121" s="76" t="b">
        <v>0</v>
      </c>
      <c r="L121" s="72">
        <v>2017</v>
      </c>
      <c r="M121" s="73">
        <v>3044000</v>
      </c>
      <c r="N121" s="77">
        <v>41222</v>
      </c>
      <c r="O121" s="77">
        <v>41275</v>
      </c>
    </row>
    <row r="122" spans="1:15" ht="14.25">
      <c r="A122" s="74">
        <v>2013</v>
      </c>
      <c r="B122" s="75" t="s">
        <v>390</v>
      </c>
      <c r="C122" s="75" t="s">
        <v>391</v>
      </c>
      <c r="D122" s="76">
        <v>1425062</v>
      </c>
      <c r="E122" s="76">
        <v>2</v>
      </c>
      <c r="F122" s="76"/>
      <c r="G122" s="75">
        <v>570</v>
      </c>
      <c r="H122" s="75">
        <v>30</v>
      </c>
      <c r="I122" s="76" t="s">
        <v>404</v>
      </c>
      <c r="J122" s="76" t="s">
        <v>295</v>
      </c>
      <c r="K122" s="76" t="b">
        <v>0</v>
      </c>
      <c r="L122" s="72">
        <v>2015</v>
      </c>
      <c r="M122" s="73">
        <v>1396900</v>
      </c>
      <c r="N122" s="77">
        <v>41222</v>
      </c>
      <c r="O122" s="77">
        <v>41275</v>
      </c>
    </row>
    <row r="123" spans="1:15" ht="14.25">
      <c r="A123" s="74">
        <v>2013</v>
      </c>
      <c r="B123" s="75" t="s">
        <v>390</v>
      </c>
      <c r="C123" s="75" t="s">
        <v>391</v>
      </c>
      <c r="D123" s="76">
        <v>1425062</v>
      </c>
      <c r="E123" s="76">
        <v>2</v>
      </c>
      <c r="F123" s="76"/>
      <c r="G123" s="75">
        <v>160</v>
      </c>
      <c r="H123" s="75">
        <v>3</v>
      </c>
      <c r="I123" s="76" t="s">
        <v>406</v>
      </c>
      <c r="J123" s="76" t="s">
        <v>107</v>
      </c>
      <c r="K123" s="76" t="b">
        <v>1</v>
      </c>
      <c r="L123" s="72">
        <v>2020</v>
      </c>
      <c r="M123" s="73">
        <v>2326459</v>
      </c>
      <c r="N123" s="77">
        <v>41222</v>
      </c>
      <c r="O123" s="77">
        <v>41275</v>
      </c>
    </row>
    <row r="124" spans="1:15" ht="14.25">
      <c r="A124" s="74">
        <v>2013</v>
      </c>
      <c r="B124" s="75" t="s">
        <v>390</v>
      </c>
      <c r="C124" s="75" t="s">
        <v>391</v>
      </c>
      <c r="D124" s="76">
        <v>1425062</v>
      </c>
      <c r="E124" s="76">
        <v>2</v>
      </c>
      <c r="F124" s="76"/>
      <c r="G124" s="75">
        <v>500</v>
      </c>
      <c r="H124" s="75">
        <v>23</v>
      </c>
      <c r="I124" s="76" t="s">
        <v>414</v>
      </c>
      <c r="J124" s="76" t="s">
        <v>59</v>
      </c>
      <c r="K124" s="76" t="b">
        <v>1</v>
      </c>
      <c r="L124" s="72">
        <v>2018</v>
      </c>
      <c r="M124" s="73">
        <v>33878223</v>
      </c>
      <c r="N124" s="77">
        <v>41222</v>
      </c>
      <c r="O124" s="77">
        <v>41275</v>
      </c>
    </row>
    <row r="125" spans="1:15" ht="14.25">
      <c r="A125" s="74">
        <v>2013</v>
      </c>
      <c r="B125" s="75" t="s">
        <v>390</v>
      </c>
      <c r="C125" s="75" t="s">
        <v>391</v>
      </c>
      <c r="D125" s="76">
        <v>1425062</v>
      </c>
      <c r="E125" s="76">
        <v>2</v>
      </c>
      <c r="F125" s="76"/>
      <c r="G125" s="75">
        <v>270</v>
      </c>
      <c r="H125" s="75">
        <v>10</v>
      </c>
      <c r="I125" s="76"/>
      <c r="J125" s="76" t="s">
        <v>17</v>
      </c>
      <c r="K125" s="76" t="b">
        <v>0</v>
      </c>
      <c r="L125" s="72">
        <v>2015</v>
      </c>
      <c r="M125" s="73">
        <v>2120000</v>
      </c>
      <c r="N125" s="77">
        <v>41222</v>
      </c>
      <c r="O125" s="77">
        <v>41275</v>
      </c>
    </row>
    <row r="126" spans="1:15" ht="14.25">
      <c r="A126" s="74">
        <v>2013</v>
      </c>
      <c r="B126" s="75" t="s">
        <v>390</v>
      </c>
      <c r="C126" s="75" t="s">
        <v>391</v>
      </c>
      <c r="D126" s="76">
        <v>1425062</v>
      </c>
      <c r="E126" s="76">
        <v>2</v>
      </c>
      <c r="F126" s="76"/>
      <c r="G126" s="75">
        <v>451</v>
      </c>
      <c r="H126" s="75" t="s">
        <v>262</v>
      </c>
      <c r="I126" s="76" t="s">
        <v>394</v>
      </c>
      <c r="J126" s="76" t="s">
        <v>287</v>
      </c>
      <c r="K126" s="76" t="b">
        <v>0</v>
      </c>
      <c r="L126" s="72">
        <v>2020</v>
      </c>
      <c r="M126" s="73">
        <v>0.0795</v>
      </c>
      <c r="N126" s="77">
        <v>41222</v>
      </c>
      <c r="O126" s="77">
        <v>41275</v>
      </c>
    </row>
    <row r="127" spans="1:15" ht="14.25">
      <c r="A127" s="74">
        <v>2013</v>
      </c>
      <c r="B127" s="75" t="s">
        <v>390</v>
      </c>
      <c r="C127" s="75" t="s">
        <v>391</v>
      </c>
      <c r="D127" s="76">
        <v>1425062</v>
      </c>
      <c r="E127" s="76">
        <v>2</v>
      </c>
      <c r="F127" s="76"/>
      <c r="G127" s="75">
        <v>200</v>
      </c>
      <c r="H127" s="75">
        <v>7</v>
      </c>
      <c r="I127" s="76" t="s">
        <v>411</v>
      </c>
      <c r="J127" s="76" t="s">
        <v>11</v>
      </c>
      <c r="K127" s="76" t="b">
        <v>1</v>
      </c>
      <c r="L127" s="72">
        <v>2017</v>
      </c>
      <c r="M127" s="73">
        <v>2044000</v>
      </c>
      <c r="N127" s="77">
        <v>41222</v>
      </c>
      <c r="O127" s="77">
        <v>41275</v>
      </c>
    </row>
    <row r="128" spans="1:15" ht="14.25">
      <c r="A128" s="74">
        <v>2013</v>
      </c>
      <c r="B128" s="75" t="s">
        <v>390</v>
      </c>
      <c r="C128" s="75" t="s">
        <v>391</v>
      </c>
      <c r="D128" s="76">
        <v>1425062</v>
      </c>
      <c r="E128" s="76">
        <v>2</v>
      </c>
      <c r="F128" s="76"/>
      <c r="G128" s="75">
        <v>370</v>
      </c>
      <c r="H128" s="75">
        <v>16</v>
      </c>
      <c r="I128" s="76"/>
      <c r="J128" s="76" t="s">
        <v>126</v>
      </c>
      <c r="K128" s="76" t="b">
        <v>1</v>
      </c>
      <c r="L128" s="72">
        <v>2022</v>
      </c>
      <c r="M128" s="73">
        <v>1693635</v>
      </c>
      <c r="N128" s="77">
        <v>41222</v>
      </c>
      <c r="O128" s="77">
        <v>41275</v>
      </c>
    </row>
    <row r="129" spans="1:15" ht="14.25">
      <c r="A129" s="74">
        <v>2013</v>
      </c>
      <c r="B129" s="75" t="s">
        <v>390</v>
      </c>
      <c r="C129" s="75" t="s">
        <v>391</v>
      </c>
      <c r="D129" s="76">
        <v>1425062</v>
      </c>
      <c r="E129" s="76">
        <v>2</v>
      </c>
      <c r="F129" s="76"/>
      <c r="G129" s="75">
        <v>440</v>
      </c>
      <c r="H129" s="75">
        <v>20</v>
      </c>
      <c r="I129" s="76" t="s">
        <v>403</v>
      </c>
      <c r="J129" s="76" t="s">
        <v>130</v>
      </c>
      <c r="K129" s="76" t="b">
        <v>1</v>
      </c>
      <c r="L129" s="72">
        <v>2014</v>
      </c>
      <c r="M129" s="73">
        <v>0.0934</v>
      </c>
      <c r="N129" s="77">
        <v>41222</v>
      </c>
      <c r="O129" s="77">
        <v>41275</v>
      </c>
    </row>
    <row r="130" spans="1:15" ht="14.25">
      <c r="A130" s="74">
        <v>2013</v>
      </c>
      <c r="B130" s="75" t="s">
        <v>390</v>
      </c>
      <c r="C130" s="75" t="s">
        <v>391</v>
      </c>
      <c r="D130" s="76">
        <v>1425062</v>
      </c>
      <c r="E130" s="76">
        <v>2</v>
      </c>
      <c r="F130" s="76"/>
      <c r="G130" s="75">
        <v>9</v>
      </c>
      <c r="H130" s="75">
        <v>2</v>
      </c>
      <c r="I130" s="76"/>
      <c r="J130" s="76" t="s">
        <v>3</v>
      </c>
      <c r="K130" s="76" t="b">
        <v>1</v>
      </c>
      <c r="L130" s="72">
        <v>2022</v>
      </c>
      <c r="M130" s="73">
        <v>34208608</v>
      </c>
      <c r="N130" s="77">
        <v>41222</v>
      </c>
      <c r="O130" s="77">
        <v>41275</v>
      </c>
    </row>
    <row r="131" spans="1:15" ht="14.25">
      <c r="A131" s="74">
        <v>2013</v>
      </c>
      <c r="B131" s="75" t="s">
        <v>390</v>
      </c>
      <c r="C131" s="75" t="s">
        <v>391</v>
      </c>
      <c r="D131" s="76">
        <v>1425062</v>
      </c>
      <c r="E131" s="76">
        <v>2</v>
      </c>
      <c r="F131" s="76"/>
      <c r="G131" s="75">
        <v>200</v>
      </c>
      <c r="H131" s="75">
        <v>7</v>
      </c>
      <c r="I131" s="76" t="s">
        <v>411</v>
      </c>
      <c r="J131" s="76" t="s">
        <v>11</v>
      </c>
      <c r="K131" s="76" t="b">
        <v>1</v>
      </c>
      <c r="L131" s="72">
        <v>2018</v>
      </c>
      <c r="M131" s="73">
        <v>2200000</v>
      </c>
      <c r="N131" s="77">
        <v>41222</v>
      </c>
      <c r="O131" s="77">
        <v>41275</v>
      </c>
    </row>
    <row r="132" spans="1:15" ht="14.25">
      <c r="A132" s="74">
        <v>2013</v>
      </c>
      <c r="B132" s="75" t="s">
        <v>390</v>
      </c>
      <c r="C132" s="75" t="s">
        <v>391</v>
      </c>
      <c r="D132" s="76">
        <v>1425062</v>
      </c>
      <c r="E132" s="76">
        <v>2</v>
      </c>
      <c r="F132" s="76"/>
      <c r="G132" s="75">
        <v>9</v>
      </c>
      <c r="H132" s="75">
        <v>2</v>
      </c>
      <c r="I132" s="76"/>
      <c r="J132" s="76" t="s">
        <v>3</v>
      </c>
      <c r="K132" s="76" t="b">
        <v>1</v>
      </c>
      <c r="L132" s="72">
        <v>2019</v>
      </c>
      <c r="M132" s="73">
        <v>31582291</v>
      </c>
      <c r="N132" s="77">
        <v>41222</v>
      </c>
      <c r="O132" s="77">
        <v>41275</v>
      </c>
    </row>
    <row r="133" spans="1:15" ht="14.25">
      <c r="A133" s="74">
        <v>2013</v>
      </c>
      <c r="B133" s="75" t="s">
        <v>390</v>
      </c>
      <c r="C133" s="75" t="s">
        <v>391</v>
      </c>
      <c r="D133" s="76">
        <v>1425062</v>
      </c>
      <c r="E133" s="76">
        <v>2</v>
      </c>
      <c r="F133" s="76"/>
      <c r="G133" s="75">
        <v>491</v>
      </c>
      <c r="H133" s="75" t="s">
        <v>264</v>
      </c>
      <c r="I133" s="76" t="s">
        <v>397</v>
      </c>
      <c r="J133" s="76" t="s">
        <v>293</v>
      </c>
      <c r="K133" s="76" t="b">
        <v>0</v>
      </c>
      <c r="L133" s="72">
        <v>2019</v>
      </c>
      <c r="M133" s="73">
        <v>3</v>
      </c>
      <c r="N133" s="77">
        <v>41222</v>
      </c>
      <c r="O133" s="77">
        <v>41275</v>
      </c>
    </row>
    <row r="134" spans="1:15" ht="14.25">
      <c r="A134" s="74">
        <v>2013</v>
      </c>
      <c r="B134" s="75" t="s">
        <v>390</v>
      </c>
      <c r="C134" s="75" t="s">
        <v>391</v>
      </c>
      <c r="D134" s="76">
        <v>1425062</v>
      </c>
      <c r="E134" s="76">
        <v>2</v>
      </c>
      <c r="F134" s="76"/>
      <c r="G134" s="75">
        <v>491</v>
      </c>
      <c r="H134" s="75" t="s">
        <v>264</v>
      </c>
      <c r="I134" s="76" t="s">
        <v>397</v>
      </c>
      <c r="J134" s="76" t="s">
        <v>293</v>
      </c>
      <c r="K134" s="76" t="b">
        <v>0</v>
      </c>
      <c r="L134" s="72">
        <v>2013</v>
      </c>
      <c r="M134" s="73">
        <v>-660</v>
      </c>
      <c r="N134" s="77">
        <v>41222</v>
      </c>
      <c r="O134" s="77">
        <v>41275</v>
      </c>
    </row>
    <row r="135" spans="1:15" ht="14.25">
      <c r="A135" s="74">
        <v>2013</v>
      </c>
      <c r="B135" s="75" t="s">
        <v>390</v>
      </c>
      <c r="C135" s="75" t="s">
        <v>391</v>
      </c>
      <c r="D135" s="76">
        <v>1425062</v>
      </c>
      <c r="E135" s="76">
        <v>2</v>
      </c>
      <c r="F135" s="76"/>
      <c r="G135" s="75">
        <v>520</v>
      </c>
      <c r="H135" s="75">
        <v>25</v>
      </c>
      <c r="I135" s="76" t="s">
        <v>393</v>
      </c>
      <c r="J135" s="76" t="s">
        <v>48</v>
      </c>
      <c r="K135" s="76" t="b">
        <v>1</v>
      </c>
      <c r="L135" s="72">
        <v>2022</v>
      </c>
      <c r="M135" s="73">
        <v>3801630</v>
      </c>
      <c r="N135" s="77">
        <v>41222</v>
      </c>
      <c r="O135" s="77">
        <v>41275</v>
      </c>
    </row>
    <row r="136" spans="1:15" ht="14.25">
      <c r="A136" s="74">
        <v>2013</v>
      </c>
      <c r="B136" s="75" t="s">
        <v>390</v>
      </c>
      <c r="C136" s="75" t="s">
        <v>391</v>
      </c>
      <c r="D136" s="76">
        <v>1425062</v>
      </c>
      <c r="E136" s="76">
        <v>2</v>
      </c>
      <c r="F136" s="76"/>
      <c r="G136" s="75">
        <v>500</v>
      </c>
      <c r="H136" s="75">
        <v>23</v>
      </c>
      <c r="I136" s="76" t="s">
        <v>414</v>
      </c>
      <c r="J136" s="76" t="s">
        <v>59</v>
      </c>
      <c r="K136" s="76" t="b">
        <v>1</v>
      </c>
      <c r="L136" s="72">
        <v>2022</v>
      </c>
      <c r="M136" s="73">
        <v>38130238</v>
      </c>
      <c r="N136" s="77">
        <v>41222</v>
      </c>
      <c r="O136" s="77">
        <v>41275</v>
      </c>
    </row>
    <row r="137" spans="1:15" ht="14.25">
      <c r="A137" s="74">
        <v>2013</v>
      </c>
      <c r="B137" s="75" t="s">
        <v>390</v>
      </c>
      <c r="C137" s="75" t="s">
        <v>391</v>
      </c>
      <c r="D137" s="76">
        <v>1425062</v>
      </c>
      <c r="E137" s="76">
        <v>2</v>
      </c>
      <c r="F137" s="76"/>
      <c r="G137" s="75">
        <v>330</v>
      </c>
      <c r="H137" s="75">
        <v>13</v>
      </c>
      <c r="I137" s="76"/>
      <c r="J137" s="76" t="s">
        <v>277</v>
      </c>
      <c r="K137" s="76" t="b">
        <v>1</v>
      </c>
      <c r="L137" s="72">
        <v>2020</v>
      </c>
      <c r="M137" s="73">
        <v>4260211</v>
      </c>
      <c r="N137" s="77">
        <v>41222</v>
      </c>
      <c r="O137" s="77">
        <v>41275</v>
      </c>
    </row>
    <row r="138" spans="1:15" ht="14.25">
      <c r="A138" s="74">
        <v>2013</v>
      </c>
      <c r="B138" s="75" t="s">
        <v>390</v>
      </c>
      <c r="C138" s="75" t="s">
        <v>391</v>
      </c>
      <c r="D138" s="76">
        <v>1425062</v>
      </c>
      <c r="E138" s="76">
        <v>2</v>
      </c>
      <c r="F138" s="76"/>
      <c r="G138" s="75">
        <v>450</v>
      </c>
      <c r="H138" s="75" t="s">
        <v>131</v>
      </c>
      <c r="I138" s="76" t="s">
        <v>394</v>
      </c>
      <c r="J138" s="76" t="s">
        <v>52</v>
      </c>
      <c r="K138" s="76" t="b">
        <v>0</v>
      </c>
      <c r="L138" s="72">
        <v>2021</v>
      </c>
      <c r="M138" s="73">
        <v>0.0775</v>
      </c>
      <c r="N138" s="77">
        <v>41222</v>
      </c>
      <c r="O138" s="77">
        <v>41275</v>
      </c>
    </row>
    <row r="139" spans="1:15" ht="14.25">
      <c r="A139" s="74">
        <v>2013</v>
      </c>
      <c r="B139" s="75" t="s">
        <v>390</v>
      </c>
      <c r="C139" s="75" t="s">
        <v>391</v>
      </c>
      <c r="D139" s="76">
        <v>1425062</v>
      </c>
      <c r="E139" s="76">
        <v>2</v>
      </c>
      <c r="F139" s="76"/>
      <c r="G139" s="75">
        <v>550</v>
      </c>
      <c r="H139" s="75">
        <v>28</v>
      </c>
      <c r="I139" s="76" t="s">
        <v>405</v>
      </c>
      <c r="J139" s="76" t="s">
        <v>47</v>
      </c>
      <c r="K139" s="76" t="b">
        <v>0</v>
      </c>
      <c r="L139" s="72">
        <v>2016</v>
      </c>
      <c r="M139" s="73">
        <v>438297</v>
      </c>
      <c r="N139" s="77">
        <v>41222</v>
      </c>
      <c r="O139" s="77">
        <v>41275</v>
      </c>
    </row>
    <row r="140" spans="1:15" ht="14.25">
      <c r="A140" s="74">
        <v>2013</v>
      </c>
      <c r="B140" s="75" t="s">
        <v>390</v>
      </c>
      <c r="C140" s="75" t="s">
        <v>391</v>
      </c>
      <c r="D140" s="76">
        <v>1425062</v>
      </c>
      <c r="E140" s="76">
        <v>2</v>
      </c>
      <c r="F140" s="76"/>
      <c r="G140" s="75">
        <v>4</v>
      </c>
      <c r="H140" s="75" t="s">
        <v>93</v>
      </c>
      <c r="I140" s="76"/>
      <c r="J140" s="76" t="s">
        <v>267</v>
      </c>
      <c r="K140" s="76" t="b">
        <v>1</v>
      </c>
      <c r="L140" s="72">
        <v>2013</v>
      </c>
      <c r="M140" s="73">
        <v>170050</v>
      </c>
      <c r="N140" s="77">
        <v>41222</v>
      </c>
      <c r="O140" s="77">
        <v>41275</v>
      </c>
    </row>
    <row r="141" spans="1:15" ht="14.25">
      <c r="A141" s="74">
        <v>2013</v>
      </c>
      <c r="B141" s="75" t="s">
        <v>390</v>
      </c>
      <c r="C141" s="75" t="s">
        <v>391</v>
      </c>
      <c r="D141" s="76">
        <v>1425062</v>
      </c>
      <c r="E141" s="76">
        <v>2</v>
      </c>
      <c r="F141" s="76"/>
      <c r="G141" s="75">
        <v>370</v>
      </c>
      <c r="H141" s="75">
        <v>16</v>
      </c>
      <c r="I141" s="76"/>
      <c r="J141" s="76" t="s">
        <v>126</v>
      </c>
      <c r="K141" s="76" t="b">
        <v>1</v>
      </c>
      <c r="L141" s="72">
        <v>2020</v>
      </c>
      <c r="M141" s="73">
        <v>500000</v>
      </c>
      <c r="N141" s="77">
        <v>41222</v>
      </c>
      <c r="O141" s="77">
        <v>41275</v>
      </c>
    </row>
    <row r="142" spans="1:15" ht="14.25">
      <c r="A142" s="74">
        <v>2013</v>
      </c>
      <c r="B142" s="75" t="s">
        <v>390</v>
      </c>
      <c r="C142" s="75" t="s">
        <v>391</v>
      </c>
      <c r="D142" s="76">
        <v>1425062</v>
      </c>
      <c r="E142" s="76">
        <v>2</v>
      </c>
      <c r="F142" s="76"/>
      <c r="G142" s="75">
        <v>370</v>
      </c>
      <c r="H142" s="75">
        <v>16</v>
      </c>
      <c r="I142" s="76"/>
      <c r="J142" s="76" t="s">
        <v>126</v>
      </c>
      <c r="K142" s="76" t="b">
        <v>1</v>
      </c>
      <c r="L142" s="72">
        <v>2015</v>
      </c>
      <c r="M142" s="73">
        <v>411266</v>
      </c>
      <c r="N142" s="77">
        <v>41222</v>
      </c>
      <c r="O142" s="77">
        <v>41275</v>
      </c>
    </row>
    <row r="143" spans="1:15" ht="14.25">
      <c r="A143" s="74">
        <v>2013</v>
      </c>
      <c r="B143" s="75" t="s">
        <v>390</v>
      </c>
      <c r="C143" s="75" t="s">
        <v>391</v>
      </c>
      <c r="D143" s="76">
        <v>1425062</v>
      </c>
      <c r="E143" s="76">
        <v>2</v>
      </c>
      <c r="F143" s="76"/>
      <c r="G143" s="75">
        <v>491</v>
      </c>
      <c r="H143" s="75" t="s">
        <v>264</v>
      </c>
      <c r="I143" s="76" t="s">
        <v>397</v>
      </c>
      <c r="J143" s="76" t="s">
        <v>293</v>
      </c>
      <c r="K143" s="76" t="b">
        <v>0</v>
      </c>
      <c r="L143" s="72">
        <v>2018</v>
      </c>
      <c r="M143" s="73">
        <v>40</v>
      </c>
      <c r="N143" s="77">
        <v>41222</v>
      </c>
      <c r="O143" s="77">
        <v>41275</v>
      </c>
    </row>
    <row r="144" spans="1:15" ht="14.25">
      <c r="A144" s="74">
        <v>2013</v>
      </c>
      <c r="B144" s="75" t="s">
        <v>390</v>
      </c>
      <c r="C144" s="75" t="s">
        <v>391</v>
      </c>
      <c r="D144" s="76">
        <v>1425062</v>
      </c>
      <c r="E144" s="76">
        <v>2</v>
      </c>
      <c r="F144" s="76"/>
      <c r="G144" s="75">
        <v>570</v>
      </c>
      <c r="H144" s="75">
        <v>30</v>
      </c>
      <c r="I144" s="76" t="s">
        <v>404</v>
      </c>
      <c r="J144" s="76" t="s">
        <v>295</v>
      </c>
      <c r="K144" s="76" t="b">
        <v>0</v>
      </c>
      <c r="L144" s="72">
        <v>2019</v>
      </c>
      <c r="M144" s="73">
        <v>2450000</v>
      </c>
      <c r="N144" s="77">
        <v>41222</v>
      </c>
      <c r="O144" s="77">
        <v>41275</v>
      </c>
    </row>
    <row r="145" spans="1:15" ht="14.25">
      <c r="A145" s="74">
        <v>2013</v>
      </c>
      <c r="B145" s="75" t="s">
        <v>390</v>
      </c>
      <c r="C145" s="75" t="s">
        <v>391</v>
      </c>
      <c r="D145" s="76">
        <v>1425062</v>
      </c>
      <c r="E145" s="76">
        <v>2</v>
      </c>
      <c r="F145" s="76"/>
      <c r="G145" s="75">
        <v>471</v>
      </c>
      <c r="H145" s="75" t="s">
        <v>263</v>
      </c>
      <c r="I145" s="76" t="s">
        <v>402</v>
      </c>
      <c r="J145" s="76" t="s">
        <v>290</v>
      </c>
      <c r="K145" s="76" t="b">
        <v>0</v>
      </c>
      <c r="L145" s="72">
        <v>2016</v>
      </c>
      <c r="M145" s="73">
        <v>307</v>
      </c>
      <c r="N145" s="77">
        <v>41222</v>
      </c>
      <c r="O145" s="77">
        <v>41275</v>
      </c>
    </row>
    <row r="146" spans="1:15" ht="14.25">
      <c r="A146" s="74">
        <v>2013</v>
      </c>
      <c r="B146" s="75" t="s">
        <v>390</v>
      </c>
      <c r="C146" s="75" t="s">
        <v>391</v>
      </c>
      <c r="D146" s="76">
        <v>1425062</v>
      </c>
      <c r="E146" s="76">
        <v>2</v>
      </c>
      <c r="F146" s="76"/>
      <c r="G146" s="75">
        <v>240</v>
      </c>
      <c r="H146" s="75" t="s">
        <v>116</v>
      </c>
      <c r="I146" s="76"/>
      <c r="J146" s="76" t="s">
        <v>276</v>
      </c>
      <c r="K146" s="76" t="b">
        <v>1</v>
      </c>
      <c r="L146" s="72">
        <v>2016</v>
      </c>
      <c r="M146" s="73">
        <v>490000</v>
      </c>
      <c r="N146" s="77">
        <v>41222</v>
      </c>
      <c r="O146" s="77">
        <v>41275</v>
      </c>
    </row>
    <row r="147" spans="1:15" ht="14.25">
      <c r="A147" s="74">
        <v>2013</v>
      </c>
      <c r="B147" s="75" t="s">
        <v>390</v>
      </c>
      <c r="C147" s="75" t="s">
        <v>391</v>
      </c>
      <c r="D147" s="76">
        <v>1425062</v>
      </c>
      <c r="E147" s="76">
        <v>2</v>
      </c>
      <c r="F147" s="76"/>
      <c r="G147" s="75">
        <v>2</v>
      </c>
      <c r="H147" s="75" t="s">
        <v>92</v>
      </c>
      <c r="I147" s="76"/>
      <c r="J147" s="76" t="s">
        <v>266</v>
      </c>
      <c r="K147" s="76" t="b">
        <v>1</v>
      </c>
      <c r="L147" s="72">
        <v>2015</v>
      </c>
      <c r="M147" s="73">
        <v>31057274</v>
      </c>
      <c r="N147" s="77">
        <v>41222</v>
      </c>
      <c r="O147" s="77">
        <v>41275</v>
      </c>
    </row>
    <row r="148" spans="1:15" ht="14.25">
      <c r="A148" s="74">
        <v>2013</v>
      </c>
      <c r="B148" s="75" t="s">
        <v>390</v>
      </c>
      <c r="C148" s="75" t="s">
        <v>391</v>
      </c>
      <c r="D148" s="76">
        <v>1425062</v>
      </c>
      <c r="E148" s="76">
        <v>2</v>
      </c>
      <c r="F148" s="76"/>
      <c r="G148" s="75">
        <v>520</v>
      </c>
      <c r="H148" s="75">
        <v>25</v>
      </c>
      <c r="I148" s="76" t="s">
        <v>393</v>
      </c>
      <c r="J148" s="76" t="s">
        <v>48</v>
      </c>
      <c r="K148" s="76" t="b">
        <v>1</v>
      </c>
      <c r="L148" s="72">
        <v>2021</v>
      </c>
      <c r="M148" s="73">
        <v>3462847</v>
      </c>
      <c r="N148" s="77">
        <v>41222</v>
      </c>
      <c r="O148" s="77">
        <v>41275</v>
      </c>
    </row>
    <row r="149" spans="1:15" ht="14.25">
      <c r="A149" s="74">
        <v>2013</v>
      </c>
      <c r="B149" s="75" t="s">
        <v>390</v>
      </c>
      <c r="C149" s="75" t="s">
        <v>391</v>
      </c>
      <c r="D149" s="76">
        <v>1425062</v>
      </c>
      <c r="E149" s="76">
        <v>2</v>
      </c>
      <c r="F149" s="76"/>
      <c r="G149" s="75">
        <v>200</v>
      </c>
      <c r="H149" s="75">
        <v>7</v>
      </c>
      <c r="I149" s="76" t="s">
        <v>411</v>
      </c>
      <c r="J149" s="76" t="s">
        <v>11</v>
      </c>
      <c r="K149" s="76" t="b">
        <v>1</v>
      </c>
      <c r="L149" s="72">
        <v>2022</v>
      </c>
      <c r="M149" s="73">
        <v>1813635</v>
      </c>
      <c r="N149" s="77">
        <v>41222</v>
      </c>
      <c r="O149" s="77">
        <v>41275</v>
      </c>
    </row>
    <row r="150" spans="1:15" ht="14.25">
      <c r="A150" s="74">
        <v>2013</v>
      </c>
      <c r="B150" s="75" t="s">
        <v>390</v>
      </c>
      <c r="C150" s="75" t="s">
        <v>391</v>
      </c>
      <c r="D150" s="76">
        <v>1425062</v>
      </c>
      <c r="E150" s="76">
        <v>2</v>
      </c>
      <c r="F150" s="76"/>
      <c r="G150" s="75">
        <v>370</v>
      </c>
      <c r="H150" s="75">
        <v>16</v>
      </c>
      <c r="I150" s="76"/>
      <c r="J150" s="76" t="s">
        <v>126</v>
      </c>
      <c r="K150" s="76" t="b">
        <v>1</v>
      </c>
      <c r="L150" s="72">
        <v>2013</v>
      </c>
      <c r="M150" s="73">
        <v>630600</v>
      </c>
      <c r="N150" s="77">
        <v>41222</v>
      </c>
      <c r="O150" s="77">
        <v>41275</v>
      </c>
    </row>
    <row r="151" spans="1:15" ht="14.25">
      <c r="A151" s="74">
        <v>2013</v>
      </c>
      <c r="B151" s="75" t="s">
        <v>390</v>
      </c>
      <c r="C151" s="75" t="s">
        <v>391</v>
      </c>
      <c r="D151" s="76">
        <v>1425062</v>
      </c>
      <c r="E151" s="76">
        <v>2</v>
      </c>
      <c r="F151" s="76"/>
      <c r="G151" s="75">
        <v>420</v>
      </c>
      <c r="H151" s="75">
        <v>19</v>
      </c>
      <c r="I151" s="76" t="s">
        <v>396</v>
      </c>
      <c r="J151" s="76" t="s">
        <v>72</v>
      </c>
      <c r="K151" s="76" t="b">
        <v>1</v>
      </c>
      <c r="L151" s="72">
        <v>2015</v>
      </c>
      <c r="M151" s="73">
        <v>0.061</v>
      </c>
      <c r="N151" s="77">
        <v>41222</v>
      </c>
      <c r="O151" s="77">
        <v>41275</v>
      </c>
    </row>
    <row r="152" spans="1:15" ht="14.25">
      <c r="A152" s="74">
        <v>2013</v>
      </c>
      <c r="B152" s="75" t="s">
        <v>390</v>
      </c>
      <c r="C152" s="75" t="s">
        <v>391</v>
      </c>
      <c r="D152" s="76">
        <v>1425062</v>
      </c>
      <c r="E152" s="76">
        <v>2</v>
      </c>
      <c r="F152" s="76"/>
      <c r="G152" s="75">
        <v>540</v>
      </c>
      <c r="H152" s="75">
        <v>27</v>
      </c>
      <c r="I152" s="76" t="s">
        <v>400</v>
      </c>
      <c r="J152" s="76" t="s">
        <v>45</v>
      </c>
      <c r="K152" s="76" t="b">
        <v>0</v>
      </c>
      <c r="L152" s="72">
        <v>2020</v>
      </c>
      <c r="M152" s="73">
        <v>34741407</v>
      </c>
      <c r="N152" s="77">
        <v>41222</v>
      </c>
      <c r="O152" s="77">
        <v>41275</v>
      </c>
    </row>
    <row r="153" spans="1:15" ht="14.25">
      <c r="A153" s="74">
        <v>2013</v>
      </c>
      <c r="B153" s="75" t="s">
        <v>390</v>
      </c>
      <c r="C153" s="75" t="s">
        <v>391</v>
      </c>
      <c r="D153" s="76">
        <v>1425062</v>
      </c>
      <c r="E153" s="76">
        <v>2</v>
      </c>
      <c r="F153" s="76"/>
      <c r="G153" s="75">
        <v>210</v>
      </c>
      <c r="H153" s="75" t="s">
        <v>112</v>
      </c>
      <c r="I153" s="76"/>
      <c r="J153" s="76" t="s">
        <v>274</v>
      </c>
      <c r="K153" s="76" t="b">
        <v>1</v>
      </c>
      <c r="L153" s="72">
        <v>2018</v>
      </c>
      <c r="M153" s="73">
        <v>1950000</v>
      </c>
      <c r="N153" s="77">
        <v>41222</v>
      </c>
      <c r="O153" s="77">
        <v>41275</v>
      </c>
    </row>
    <row r="154" spans="1:15" ht="14.25">
      <c r="A154" s="74">
        <v>2013</v>
      </c>
      <c r="B154" s="75" t="s">
        <v>390</v>
      </c>
      <c r="C154" s="75" t="s">
        <v>391</v>
      </c>
      <c r="D154" s="76">
        <v>1425062</v>
      </c>
      <c r="E154" s="76">
        <v>2</v>
      </c>
      <c r="F154" s="76"/>
      <c r="G154" s="75">
        <v>470</v>
      </c>
      <c r="H154" s="75" t="s">
        <v>132</v>
      </c>
      <c r="I154" s="76" t="s">
        <v>402</v>
      </c>
      <c r="J154" s="76" t="s">
        <v>289</v>
      </c>
      <c r="K154" s="76" t="b">
        <v>0</v>
      </c>
      <c r="L154" s="72">
        <v>2015</v>
      </c>
      <c r="M154" s="73">
        <v>249</v>
      </c>
      <c r="N154" s="77">
        <v>41222</v>
      </c>
      <c r="O154" s="77">
        <v>41275</v>
      </c>
    </row>
    <row r="155" spans="1:15" ht="14.25">
      <c r="A155" s="74">
        <v>2013</v>
      </c>
      <c r="B155" s="75" t="s">
        <v>390</v>
      </c>
      <c r="C155" s="75" t="s">
        <v>391</v>
      </c>
      <c r="D155" s="76">
        <v>1425062</v>
      </c>
      <c r="E155" s="76">
        <v>2</v>
      </c>
      <c r="F155" s="76"/>
      <c r="G155" s="75">
        <v>1</v>
      </c>
      <c r="H155" s="75">
        <v>1</v>
      </c>
      <c r="I155" s="76" t="s">
        <v>401</v>
      </c>
      <c r="J155" s="76" t="s">
        <v>91</v>
      </c>
      <c r="K155" s="76" t="b">
        <v>1</v>
      </c>
      <c r="L155" s="72">
        <v>2017</v>
      </c>
      <c r="M155" s="73">
        <v>33060241</v>
      </c>
      <c r="N155" s="77">
        <v>41222</v>
      </c>
      <c r="O155" s="77">
        <v>41275</v>
      </c>
    </row>
    <row r="156" spans="1:15" ht="14.25">
      <c r="A156" s="74">
        <v>2013</v>
      </c>
      <c r="B156" s="75" t="s">
        <v>390</v>
      </c>
      <c r="C156" s="75" t="s">
        <v>391</v>
      </c>
      <c r="D156" s="76">
        <v>1425062</v>
      </c>
      <c r="E156" s="76">
        <v>2</v>
      </c>
      <c r="F156" s="76"/>
      <c r="G156" s="75">
        <v>295</v>
      </c>
      <c r="H156" s="75" t="s">
        <v>257</v>
      </c>
      <c r="I156" s="76"/>
      <c r="J156" s="76" t="s">
        <v>251</v>
      </c>
      <c r="K156" s="76" t="b">
        <v>0</v>
      </c>
      <c r="L156" s="72">
        <v>2014</v>
      </c>
      <c r="M156" s="73">
        <v>668828</v>
      </c>
      <c r="N156" s="77">
        <v>41222</v>
      </c>
      <c r="O156" s="77">
        <v>41275</v>
      </c>
    </row>
    <row r="157" spans="1:15" ht="14.25">
      <c r="A157" s="74">
        <v>2013</v>
      </c>
      <c r="B157" s="75" t="s">
        <v>390</v>
      </c>
      <c r="C157" s="75" t="s">
        <v>391</v>
      </c>
      <c r="D157" s="76">
        <v>1425062</v>
      </c>
      <c r="E157" s="76">
        <v>2</v>
      </c>
      <c r="F157" s="76"/>
      <c r="G157" s="75">
        <v>471</v>
      </c>
      <c r="H157" s="75" t="s">
        <v>263</v>
      </c>
      <c r="I157" s="76" t="s">
        <v>402</v>
      </c>
      <c r="J157" s="76" t="s">
        <v>290</v>
      </c>
      <c r="K157" s="76" t="b">
        <v>0</v>
      </c>
      <c r="L157" s="72">
        <v>2017</v>
      </c>
      <c r="M157" s="73">
        <v>162</v>
      </c>
      <c r="N157" s="77">
        <v>41222</v>
      </c>
      <c r="O157" s="77">
        <v>41275</v>
      </c>
    </row>
    <row r="158" spans="1:15" ht="14.25">
      <c r="A158" s="74">
        <v>2013</v>
      </c>
      <c r="B158" s="75" t="s">
        <v>390</v>
      </c>
      <c r="C158" s="75" t="s">
        <v>391</v>
      </c>
      <c r="D158" s="76">
        <v>1425062</v>
      </c>
      <c r="E158" s="76">
        <v>2</v>
      </c>
      <c r="F158" s="76"/>
      <c r="G158" s="75">
        <v>410</v>
      </c>
      <c r="H158" s="75" t="s">
        <v>128</v>
      </c>
      <c r="I158" s="76" t="s">
        <v>413</v>
      </c>
      <c r="J158" s="76" t="s">
        <v>71</v>
      </c>
      <c r="K158" s="76" t="b">
        <v>0</v>
      </c>
      <c r="L158" s="72">
        <v>2015</v>
      </c>
      <c r="M158" s="73">
        <v>0.3577</v>
      </c>
      <c r="N158" s="77">
        <v>41222</v>
      </c>
      <c r="O158" s="77">
        <v>41275</v>
      </c>
    </row>
    <row r="159" spans="1:15" ht="14.25">
      <c r="A159" s="74">
        <v>2013</v>
      </c>
      <c r="B159" s="75" t="s">
        <v>390</v>
      </c>
      <c r="C159" s="75" t="s">
        <v>391</v>
      </c>
      <c r="D159" s="76">
        <v>1425062</v>
      </c>
      <c r="E159" s="76">
        <v>2</v>
      </c>
      <c r="F159" s="76"/>
      <c r="G159" s="75">
        <v>290</v>
      </c>
      <c r="H159" s="75" t="s">
        <v>121</v>
      </c>
      <c r="I159" s="76"/>
      <c r="J159" s="76" t="s">
        <v>271</v>
      </c>
      <c r="K159" s="76" t="b">
        <v>0</v>
      </c>
      <c r="L159" s="72">
        <v>2015</v>
      </c>
      <c r="M159" s="73">
        <v>2120000</v>
      </c>
      <c r="N159" s="77">
        <v>41222</v>
      </c>
      <c r="O159" s="77">
        <v>41275</v>
      </c>
    </row>
    <row r="160" spans="1:15" ht="14.25">
      <c r="A160" s="74">
        <v>2013</v>
      </c>
      <c r="B160" s="75" t="s">
        <v>390</v>
      </c>
      <c r="C160" s="75" t="s">
        <v>391</v>
      </c>
      <c r="D160" s="76">
        <v>1425062</v>
      </c>
      <c r="E160" s="76">
        <v>2</v>
      </c>
      <c r="F160" s="76"/>
      <c r="G160" s="75">
        <v>160</v>
      </c>
      <c r="H160" s="75">
        <v>3</v>
      </c>
      <c r="I160" s="76" t="s">
        <v>406</v>
      </c>
      <c r="J160" s="76" t="s">
        <v>107</v>
      </c>
      <c r="K160" s="76" t="b">
        <v>1</v>
      </c>
      <c r="L160" s="72">
        <v>2015</v>
      </c>
      <c r="M160" s="73">
        <v>3071266</v>
      </c>
      <c r="N160" s="77">
        <v>41222</v>
      </c>
      <c r="O160" s="77">
        <v>41275</v>
      </c>
    </row>
    <row r="161" spans="1:15" ht="14.25">
      <c r="A161" s="74">
        <v>2013</v>
      </c>
      <c r="B161" s="75" t="s">
        <v>390</v>
      </c>
      <c r="C161" s="75" t="s">
        <v>391</v>
      </c>
      <c r="D161" s="76">
        <v>1425062</v>
      </c>
      <c r="E161" s="76">
        <v>2</v>
      </c>
      <c r="F161" s="76"/>
      <c r="G161" s="75">
        <v>230</v>
      </c>
      <c r="H161" s="75" t="s">
        <v>115</v>
      </c>
      <c r="I161" s="76"/>
      <c r="J161" s="76" t="s">
        <v>275</v>
      </c>
      <c r="K161" s="76" t="b">
        <v>1</v>
      </c>
      <c r="L161" s="72">
        <v>2013</v>
      </c>
      <c r="M161" s="73">
        <v>730000</v>
      </c>
      <c r="N161" s="77">
        <v>41222</v>
      </c>
      <c r="O161" s="77">
        <v>41275</v>
      </c>
    </row>
    <row r="162" spans="1:15" ht="14.25">
      <c r="A162" s="74">
        <v>2013</v>
      </c>
      <c r="B162" s="75" t="s">
        <v>390</v>
      </c>
      <c r="C162" s="75" t="s">
        <v>391</v>
      </c>
      <c r="D162" s="76">
        <v>1425062</v>
      </c>
      <c r="E162" s="76">
        <v>2</v>
      </c>
      <c r="F162" s="76"/>
      <c r="G162" s="75">
        <v>330</v>
      </c>
      <c r="H162" s="75">
        <v>13</v>
      </c>
      <c r="I162" s="76"/>
      <c r="J162" s="76" t="s">
        <v>277</v>
      </c>
      <c r="K162" s="76" t="b">
        <v>1</v>
      </c>
      <c r="L162" s="72">
        <v>2018</v>
      </c>
      <c r="M162" s="73">
        <v>7210211</v>
      </c>
      <c r="N162" s="77">
        <v>41222</v>
      </c>
      <c r="O162" s="77">
        <v>41275</v>
      </c>
    </row>
    <row r="163" spans="1:15" ht="14.25">
      <c r="A163" s="74">
        <v>2013</v>
      </c>
      <c r="B163" s="75" t="s">
        <v>390</v>
      </c>
      <c r="C163" s="75" t="s">
        <v>391</v>
      </c>
      <c r="D163" s="76">
        <v>1425062</v>
      </c>
      <c r="E163" s="76">
        <v>2</v>
      </c>
      <c r="F163" s="76"/>
      <c r="G163" s="75">
        <v>1</v>
      </c>
      <c r="H163" s="75">
        <v>1</v>
      </c>
      <c r="I163" s="76" t="s">
        <v>401</v>
      </c>
      <c r="J163" s="76" t="s">
        <v>91</v>
      </c>
      <c r="K163" s="76" t="b">
        <v>1</v>
      </c>
      <c r="L163" s="72">
        <v>2022</v>
      </c>
      <c r="M163" s="73">
        <v>38130238</v>
      </c>
      <c r="N163" s="77">
        <v>41222</v>
      </c>
      <c r="O163" s="77">
        <v>41275</v>
      </c>
    </row>
    <row r="164" spans="1:15" ht="14.25">
      <c r="A164" s="74">
        <v>2013</v>
      </c>
      <c r="B164" s="75" t="s">
        <v>390</v>
      </c>
      <c r="C164" s="75" t="s">
        <v>391</v>
      </c>
      <c r="D164" s="76">
        <v>1425062</v>
      </c>
      <c r="E164" s="76">
        <v>2</v>
      </c>
      <c r="F164" s="76"/>
      <c r="G164" s="75">
        <v>10</v>
      </c>
      <c r="H164" s="75" t="s">
        <v>97</v>
      </c>
      <c r="I164" s="76"/>
      <c r="J164" s="76" t="s">
        <v>98</v>
      </c>
      <c r="K164" s="76" t="b">
        <v>0</v>
      </c>
      <c r="L164" s="72">
        <v>2017</v>
      </c>
      <c r="M164" s="73">
        <v>16834936</v>
      </c>
      <c r="N164" s="77">
        <v>41222</v>
      </c>
      <c r="O164" s="77">
        <v>41275</v>
      </c>
    </row>
    <row r="165" spans="1:15" ht="14.25">
      <c r="A165" s="74">
        <v>2013</v>
      </c>
      <c r="B165" s="75" t="s">
        <v>390</v>
      </c>
      <c r="C165" s="75" t="s">
        <v>391</v>
      </c>
      <c r="D165" s="76">
        <v>1425062</v>
      </c>
      <c r="E165" s="76">
        <v>2</v>
      </c>
      <c r="F165" s="76"/>
      <c r="G165" s="75">
        <v>480</v>
      </c>
      <c r="H165" s="75">
        <v>22</v>
      </c>
      <c r="I165" s="76" t="s">
        <v>412</v>
      </c>
      <c r="J165" s="76" t="s">
        <v>291</v>
      </c>
      <c r="K165" s="76" t="b">
        <v>0</v>
      </c>
      <c r="L165" s="72">
        <v>2019</v>
      </c>
      <c r="M165" s="73">
        <v>0.0734</v>
      </c>
      <c r="N165" s="77">
        <v>41222</v>
      </c>
      <c r="O165" s="77">
        <v>41275</v>
      </c>
    </row>
    <row r="166" spans="1:15" ht="14.25">
      <c r="A166" s="74">
        <v>2013</v>
      </c>
      <c r="B166" s="75" t="s">
        <v>390</v>
      </c>
      <c r="C166" s="75" t="s">
        <v>391</v>
      </c>
      <c r="D166" s="76">
        <v>1425062</v>
      </c>
      <c r="E166" s="76">
        <v>2</v>
      </c>
      <c r="F166" s="76"/>
      <c r="G166" s="75">
        <v>500</v>
      </c>
      <c r="H166" s="75">
        <v>23</v>
      </c>
      <c r="I166" s="76" t="s">
        <v>414</v>
      </c>
      <c r="J166" s="76" t="s">
        <v>59</v>
      </c>
      <c r="K166" s="76" t="b">
        <v>1</v>
      </c>
      <c r="L166" s="72">
        <v>2020</v>
      </c>
      <c r="M166" s="73">
        <v>35241407</v>
      </c>
      <c r="N166" s="77">
        <v>41222</v>
      </c>
      <c r="O166" s="77">
        <v>41275</v>
      </c>
    </row>
    <row r="167" spans="1:15" ht="14.25">
      <c r="A167" s="74">
        <v>2013</v>
      </c>
      <c r="B167" s="75" t="s">
        <v>390</v>
      </c>
      <c r="C167" s="75" t="s">
        <v>391</v>
      </c>
      <c r="D167" s="76">
        <v>1425062</v>
      </c>
      <c r="E167" s="76">
        <v>2</v>
      </c>
      <c r="F167" s="76"/>
      <c r="G167" s="75">
        <v>370</v>
      </c>
      <c r="H167" s="75">
        <v>16</v>
      </c>
      <c r="I167" s="76"/>
      <c r="J167" s="76" t="s">
        <v>126</v>
      </c>
      <c r="K167" s="76" t="b">
        <v>1</v>
      </c>
      <c r="L167" s="72">
        <v>2017</v>
      </c>
      <c r="M167" s="73">
        <v>1694000</v>
      </c>
      <c r="N167" s="77">
        <v>41222</v>
      </c>
      <c r="O167" s="77">
        <v>41275</v>
      </c>
    </row>
    <row r="168" spans="1:15" ht="14.25">
      <c r="A168" s="74">
        <v>2013</v>
      </c>
      <c r="B168" s="75" t="s">
        <v>390</v>
      </c>
      <c r="C168" s="75" t="s">
        <v>391</v>
      </c>
      <c r="D168" s="76">
        <v>1425062</v>
      </c>
      <c r="E168" s="76">
        <v>2</v>
      </c>
      <c r="F168" s="76"/>
      <c r="G168" s="75">
        <v>460</v>
      </c>
      <c r="H168" s="75">
        <v>21</v>
      </c>
      <c r="I168" s="76" t="s">
        <v>392</v>
      </c>
      <c r="J168" s="76" t="s">
        <v>288</v>
      </c>
      <c r="K168" s="76" t="b">
        <v>1</v>
      </c>
      <c r="L168" s="72">
        <v>2015</v>
      </c>
      <c r="M168" s="73">
        <v>0.061</v>
      </c>
      <c r="N168" s="77">
        <v>41222</v>
      </c>
      <c r="O168" s="77">
        <v>41275</v>
      </c>
    </row>
    <row r="169" spans="1:15" ht="14.25">
      <c r="A169" s="74">
        <v>2013</v>
      </c>
      <c r="B169" s="75" t="s">
        <v>390</v>
      </c>
      <c r="C169" s="75" t="s">
        <v>391</v>
      </c>
      <c r="D169" s="76">
        <v>1425062</v>
      </c>
      <c r="E169" s="76">
        <v>2</v>
      </c>
      <c r="F169" s="76"/>
      <c r="G169" s="75">
        <v>520</v>
      </c>
      <c r="H169" s="75">
        <v>25</v>
      </c>
      <c r="I169" s="76" t="s">
        <v>393</v>
      </c>
      <c r="J169" s="76" t="s">
        <v>48</v>
      </c>
      <c r="K169" s="76" t="b">
        <v>1</v>
      </c>
      <c r="L169" s="72">
        <v>2018</v>
      </c>
      <c r="M169" s="73">
        <v>2656476</v>
      </c>
      <c r="N169" s="77">
        <v>41222</v>
      </c>
      <c r="O169" s="77">
        <v>41275</v>
      </c>
    </row>
    <row r="170" spans="1:15" ht="14.25">
      <c r="A170" s="74">
        <v>2013</v>
      </c>
      <c r="B170" s="75" t="s">
        <v>390</v>
      </c>
      <c r="C170" s="75" t="s">
        <v>391</v>
      </c>
      <c r="D170" s="76">
        <v>1425062</v>
      </c>
      <c r="E170" s="76">
        <v>2</v>
      </c>
      <c r="F170" s="76"/>
      <c r="G170" s="75">
        <v>200</v>
      </c>
      <c r="H170" s="75">
        <v>7</v>
      </c>
      <c r="I170" s="76" t="s">
        <v>411</v>
      </c>
      <c r="J170" s="76" t="s">
        <v>11</v>
      </c>
      <c r="K170" s="76" t="b">
        <v>1</v>
      </c>
      <c r="L170" s="72">
        <v>2016</v>
      </c>
      <c r="M170" s="73">
        <v>2000000</v>
      </c>
      <c r="N170" s="77">
        <v>41222</v>
      </c>
      <c r="O170" s="77">
        <v>41275</v>
      </c>
    </row>
    <row r="171" spans="1:15" ht="14.25">
      <c r="A171" s="74">
        <v>2013</v>
      </c>
      <c r="B171" s="75" t="s">
        <v>390</v>
      </c>
      <c r="C171" s="75" t="s">
        <v>391</v>
      </c>
      <c r="D171" s="76">
        <v>1425062</v>
      </c>
      <c r="E171" s="76">
        <v>2</v>
      </c>
      <c r="F171" s="76"/>
      <c r="G171" s="75">
        <v>270</v>
      </c>
      <c r="H171" s="75">
        <v>10</v>
      </c>
      <c r="I171" s="76"/>
      <c r="J171" s="76" t="s">
        <v>17</v>
      </c>
      <c r="K171" s="76" t="b">
        <v>0</v>
      </c>
      <c r="L171" s="72">
        <v>2017</v>
      </c>
      <c r="M171" s="73">
        <v>1000000</v>
      </c>
      <c r="N171" s="77">
        <v>41222</v>
      </c>
      <c r="O171" s="77">
        <v>41275</v>
      </c>
    </row>
    <row r="172" spans="1:15" ht="14.25">
      <c r="A172" s="74">
        <v>2013</v>
      </c>
      <c r="B172" s="75" t="s">
        <v>390</v>
      </c>
      <c r="C172" s="75" t="s">
        <v>391</v>
      </c>
      <c r="D172" s="76">
        <v>1425062</v>
      </c>
      <c r="E172" s="76">
        <v>2</v>
      </c>
      <c r="F172" s="76"/>
      <c r="G172" s="75">
        <v>500</v>
      </c>
      <c r="H172" s="75">
        <v>23</v>
      </c>
      <c r="I172" s="76" t="s">
        <v>414</v>
      </c>
      <c r="J172" s="76" t="s">
        <v>59</v>
      </c>
      <c r="K172" s="76" t="b">
        <v>1</v>
      </c>
      <c r="L172" s="72">
        <v>2019</v>
      </c>
      <c r="M172" s="73">
        <v>34994570</v>
      </c>
      <c r="N172" s="77">
        <v>41222</v>
      </c>
      <c r="O172" s="77">
        <v>41275</v>
      </c>
    </row>
    <row r="173" spans="1:15" ht="14.25">
      <c r="A173" s="74">
        <v>2013</v>
      </c>
      <c r="B173" s="75" t="s">
        <v>390</v>
      </c>
      <c r="C173" s="75" t="s">
        <v>391</v>
      </c>
      <c r="D173" s="76">
        <v>1425062</v>
      </c>
      <c r="E173" s="76">
        <v>2</v>
      </c>
      <c r="F173" s="76"/>
      <c r="G173" s="75">
        <v>470</v>
      </c>
      <c r="H173" s="75" t="s">
        <v>132</v>
      </c>
      <c r="I173" s="76" t="s">
        <v>402</v>
      </c>
      <c r="J173" s="76" t="s">
        <v>289</v>
      </c>
      <c r="K173" s="76" t="b">
        <v>0</v>
      </c>
      <c r="L173" s="72">
        <v>2021</v>
      </c>
      <c r="M173" s="73">
        <v>47</v>
      </c>
      <c r="N173" s="77">
        <v>41222</v>
      </c>
      <c r="O173" s="77">
        <v>41275</v>
      </c>
    </row>
    <row r="174" spans="1:15" ht="14.25">
      <c r="A174" s="74">
        <v>2013</v>
      </c>
      <c r="B174" s="75" t="s">
        <v>390</v>
      </c>
      <c r="C174" s="75" t="s">
        <v>391</v>
      </c>
      <c r="D174" s="76">
        <v>1425062</v>
      </c>
      <c r="E174" s="76">
        <v>2</v>
      </c>
      <c r="F174" s="76"/>
      <c r="G174" s="75">
        <v>210</v>
      </c>
      <c r="H174" s="75" t="s">
        <v>112</v>
      </c>
      <c r="I174" s="76"/>
      <c r="J174" s="76" t="s">
        <v>274</v>
      </c>
      <c r="K174" s="76" t="b">
        <v>1</v>
      </c>
      <c r="L174" s="72">
        <v>2017</v>
      </c>
      <c r="M174" s="73">
        <v>1694000</v>
      </c>
      <c r="N174" s="77">
        <v>41222</v>
      </c>
      <c r="O174" s="77">
        <v>41275</v>
      </c>
    </row>
    <row r="175" spans="1:15" ht="14.25">
      <c r="A175" s="74">
        <v>2013</v>
      </c>
      <c r="B175" s="75" t="s">
        <v>390</v>
      </c>
      <c r="C175" s="75" t="s">
        <v>391</v>
      </c>
      <c r="D175" s="76">
        <v>1425062</v>
      </c>
      <c r="E175" s="76">
        <v>2</v>
      </c>
      <c r="F175" s="76"/>
      <c r="G175" s="75">
        <v>230</v>
      </c>
      <c r="H175" s="75" t="s">
        <v>115</v>
      </c>
      <c r="I175" s="76"/>
      <c r="J175" s="76" t="s">
        <v>275</v>
      </c>
      <c r="K175" s="76" t="b">
        <v>1</v>
      </c>
      <c r="L175" s="72">
        <v>2021</v>
      </c>
      <c r="M175" s="73">
        <v>130000</v>
      </c>
      <c r="N175" s="77">
        <v>41222</v>
      </c>
      <c r="O175" s="77">
        <v>41275</v>
      </c>
    </row>
    <row r="176" spans="1:15" ht="14.25">
      <c r="A176" s="74">
        <v>2013</v>
      </c>
      <c r="B176" s="75" t="s">
        <v>390</v>
      </c>
      <c r="C176" s="75" t="s">
        <v>391</v>
      </c>
      <c r="D176" s="76">
        <v>1425062</v>
      </c>
      <c r="E176" s="76">
        <v>2</v>
      </c>
      <c r="F176" s="76"/>
      <c r="G176" s="75">
        <v>260</v>
      </c>
      <c r="H176" s="75">
        <v>9</v>
      </c>
      <c r="I176" s="76" t="s">
        <v>398</v>
      </c>
      <c r="J176" s="76" t="s">
        <v>118</v>
      </c>
      <c r="K176" s="76" t="b">
        <v>0</v>
      </c>
      <c r="L176" s="72">
        <v>2014</v>
      </c>
      <c r="M176" s="73">
        <v>2804626</v>
      </c>
      <c r="N176" s="77">
        <v>41222</v>
      </c>
      <c r="O176" s="77">
        <v>41275</v>
      </c>
    </row>
    <row r="177" spans="1:15" ht="14.25">
      <c r="A177" s="74">
        <v>2013</v>
      </c>
      <c r="B177" s="75" t="s">
        <v>390</v>
      </c>
      <c r="C177" s="75" t="s">
        <v>391</v>
      </c>
      <c r="D177" s="76">
        <v>1425062</v>
      </c>
      <c r="E177" s="76">
        <v>2</v>
      </c>
      <c r="F177" s="76"/>
      <c r="G177" s="75">
        <v>471</v>
      </c>
      <c r="H177" s="75" t="s">
        <v>263</v>
      </c>
      <c r="I177" s="76" t="s">
        <v>402</v>
      </c>
      <c r="J177" s="76" t="s">
        <v>290</v>
      </c>
      <c r="K177" s="76" t="b">
        <v>0</v>
      </c>
      <c r="L177" s="72">
        <v>2021</v>
      </c>
      <c r="M177" s="73">
        <v>47</v>
      </c>
      <c r="N177" s="77">
        <v>41222</v>
      </c>
      <c r="O177" s="77">
        <v>41275</v>
      </c>
    </row>
    <row r="178" spans="1:15" ht="14.25">
      <c r="A178" s="74">
        <v>2013</v>
      </c>
      <c r="B178" s="75" t="s">
        <v>390</v>
      </c>
      <c r="C178" s="75" t="s">
        <v>391</v>
      </c>
      <c r="D178" s="76">
        <v>1425062</v>
      </c>
      <c r="E178" s="76">
        <v>2</v>
      </c>
      <c r="F178" s="76"/>
      <c r="G178" s="75">
        <v>550</v>
      </c>
      <c r="H178" s="75">
        <v>28</v>
      </c>
      <c r="I178" s="76" t="s">
        <v>405</v>
      </c>
      <c r="J178" s="76" t="s">
        <v>47</v>
      </c>
      <c r="K178" s="76" t="b">
        <v>0</v>
      </c>
      <c r="L178" s="72">
        <v>2021</v>
      </c>
      <c r="M178" s="73">
        <v>2566576</v>
      </c>
      <c r="N178" s="77">
        <v>41222</v>
      </c>
      <c r="O178" s="77">
        <v>41275</v>
      </c>
    </row>
    <row r="179" spans="1:15" ht="14.25">
      <c r="A179" s="74">
        <v>2013</v>
      </c>
      <c r="B179" s="75" t="s">
        <v>390</v>
      </c>
      <c r="C179" s="75" t="s">
        <v>391</v>
      </c>
      <c r="D179" s="76">
        <v>1425062</v>
      </c>
      <c r="E179" s="76">
        <v>2</v>
      </c>
      <c r="F179" s="76"/>
      <c r="G179" s="75">
        <v>410</v>
      </c>
      <c r="H179" s="75" t="s">
        <v>128</v>
      </c>
      <c r="I179" s="76" t="s">
        <v>413</v>
      </c>
      <c r="J179" s="76" t="s">
        <v>71</v>
      </c>
      <c r="K179" s="76" t="b">
        <v>0</v>
      </c>
      <c r="L179" s="72">
        <v>2018</v>
      </c>
      <c r="M179" s="73">
        <v>0.2128</v>
      </c>
      <c r="N179" s="77">
        <v>41222</v>
      </c>
      <c r="O179" s="77">
        <v>41275</v>
      </c>
    </row>
    <row r="180" spans="1:15" ht="14.25">
      <c r="A180" s="74">
        <v>2013</v>
      </c>
      <c r="B180" s="75" t="s">
        <v>390</v>
      </c>
      <c r="C180" s="75" t="s">
        <v>391</v>
      </c>
      <c r="D180" s="76">
        <v>1425062</v>
      </c>
      <c r="E180" s="76">
        <v>2</v>
      </c>
      <c r="F180" s="76"/>
      <c r="G180" s="75">
        <v>410</v>
      </c>
      <c r="H180" s="75" t="s">
        <v>128</v>
      </c>
      <c r="I180" s="76" t="s">
        <v>413</v>
      </c>
      <c r="J180" s="76" t="s">
        <v>71</v>
      </c>
      <c r="K180" s="76" t="b">
        <v>0</v>
      </c>
      <c r="L180" s="72">
        <v>2013</v>
      </c>
      <c r="M180" s="73">
        <v>0.3754</v>
      </c>
      <c r="N180" s="77">
        <v>41222</v>
      </c>
      <c r="O180" s="77">
        <v>41275</v>
      </c>
    </row>
    <row r="181" spans="1:15" ht="14.25">
      <c r="A181" s="74">
        <v>2013</v>
      </c>
      <c r="B181" s="75" t="s">
        <v>390</v>
      </c>
      <c r="C181" s="75" t="s">
        <v>391</v>
      </c>
      <c r="D181" s="76">
        <v>1425062</v>
      </c>
      <c r="E181" s="76">
        <v>2</v>
      </c>
      <c r="F181" s="76"/>
      <c r="G181" s="75">
        <v>280</v>
      </c>
      <c r="H181" s="75" t="s">
        <v>119</v>
      </c>
      <c r="I181" s="76"/>
      <c r="J181" s="76" t="s">
        <v>120</v>
      </c>
      <c r="K181" s="76" t="b">
        <v>0</v>
      </c>
      <c r="L181" s="72">
        <v>2015</v>
      </c>
      <c r="M181" s="73">
        <v>2120000</v>
      </c>
      <c r="N181" s="77">
        <v>41222</v>
      </c>
      <c r="O181" s="77">
        <v>41275</v>
      </c>
    </row>
    <row r="182" spans="1:15" ht="14.25">
      <c r="A182" s="74">
        <v>2013</v>
      </c>
      <c r="B182" s="75" t="s">
        <v>390</v>
      </c>
      <c r="C182" s="75" t="s">
        <v>391</v>
      </c>
      <c r="D182" s="76">
        <v>1425062</v>
      </c>
      <c r="E182" s="76">
        <v>2</v>
      </c>
      <c r="F182" s="76"/>
      <c r="G182" s="75">
        <v>5</v>
      </c>
      <c r="H182" s="75" t="s">
        <v>94</v>
      </c>
      <c r="I182" s="76"/>
      <c r="J182" s="76" t="s">
        <v>268</v>
      </c>
      <c r="K182" s="76" t="b">
        <v>1</v>
      </c>
      <c r="L182" s="72">
        <v>2013</v>
      </c>
      <c r="M182" s="73">
        <v>1702017</v>
      </c>
      <c r="N182" s="77">
        <v>41222</v>
      </c>
      <c r="O182" s="77">
        <v>41275</v>
      </c>
    </row>
    <row r="183" spans="1:15" ht="14.25">
      <c r="A183" s="74">
        <v>2013</v>
      </c>
      <c r="B183" s="75" t="s">
        <v>390</v>
      </c>
      <c r="C183" s="75" t="s">
        <v>391</v>
      </c>
      <c r="D183" s="76">
        <v>1425062</v>
      </c>
      <c r="E183" s="76">
        <v>2</v>
      </c>
      <c r="F183" s="76"/>
      <c r="G183" s="75">
        <v>2</v>
      </c>
      <c r="H183" s="75" t="s">
        <v>92</v>
      </c>
      <c r="I183" s="76"/>
      <c r="J183" s="76" t="s">
        <v>266</v>
      </c>
      <c r="K183" s="76" t="b">
        <v>1</v>
      </c>
      <c r="L183" s="72">
        <v>2014</v>
      </c>
      <c r="M183" s="73">
        <v>30568535</v>
      </c>
      <c r="N183" s="77">
        <v>41222</v>
      </c>
      <c r="O183" s="77">
        <v>41275</v>
      </c>
    </row>
    <row r="184" spans="1:15" ht="14.25">
      <c r="A184" s="74">
        <v>2013</v>
      </c>
      <c r="B184" s="75" t="s">
        <v>390</v>
      </c>
      <c r="C184" s="75" t="s">
        <v>391</v>
      </c>
      <c r="D184" s="76">
        <v>1425062</v>
      </c>
      <c r="E184" s="76">
        <v>2</v>
      </c>
      <c r="F184" s="76"/>
      <c r="G184" s="75">
        <v>500</v>
      </c>
      <c r="H184" s="75">
        <v>23</v>
      </c>
      <c r="I184" s="76" t="s">
        <v>414</v>
      </c>
      <c r="J184" s="76" t="s">
        <v>59</v>
      </c>
      <c r="K184" s="76" t="b">
        <v>1</v>
      </c>
      <c r="L184" s="72">
        <v>2015</v>
      </c>
      <c r="M184" s="73">
        <v>31057274</v>
      </c>
      <c r="N184" s="77">
        <v>41222</v>
      </c>
      <c r="O184" s="77">
        <v>41275</v>
      </c>
    </row>
    <row r="185" spans="1:15" ht="14.25">
      <c r="A185" s="74">
        <v>2013</v>
      </c>
      <c r="B185" s="75" t="s">
        <v>390</v>
      </c>
      <c r="C185" s="75" t="s">
        <v>391</v>
      </c>
      <c r="D185" s="76">
        <v>1425062</v>
      </c>
      <c r="E185" s="76">
        <v>2</v>
      </c>
      <c r="F185" s="76"/>
      <c r="G185" s="75">
        <v>230</v>
      </c>
      <c r="H185" s="75" t="s">
        <v>115</v>
      </c>
      <c r="I185" s="76"/>
      <c r="J185" s="76" t="s">
        <v>275</v>
      </c>
      <c r="K185" s="76" t="b">
        <v>1</v>
      </c>
      <c r="L185" s="72">
        <v>2014</v>
      </c>
      <c r="M185" s="73">
        <v>610000</v>
      </c>
      <c r="N185" s="77">
        <v>41222</v>
      </c>
      <c r="O185" s="77">
        <v>41275</v>
      </c>
    </row>
    <row r="186" spans="1:15" ht="14.25">
      <c r="A186" s="74">
        <v>2013</v>
      </c>
      <c r="B186" s="75" t="s">
        <v>390</v>
      </c>
      <c r="C186" s="75" t="s">
        <v>391</v>
      </c>
      <c r="D186" s="76">
        <v>1425062</v>
      </c>
      <c r="E186" s="76">
        <v>2</v>
      </c>
      <c r="F186" s="76"/>
      <c r="G186" s="75">
        <v>520</v>
      </c>
      <c r="H186" s="75">
        <v>25</v>
      </c>
      <c r="I186" s="76" t="s">
        <v>393</v>
      </c>
      <c r="J186" s="76" t="s">
        <v>48</v>
      </c>
      <c r="K186" s="76" t="b">
        <v>1</v>
      </c>
      <c r="L186" s="72">
        <v>2019</v>
      </c>
      <c r="M186" s="73">
        <v>3292279</v>
      </c>
      <c r="N186" s="77">
        <v>41222</v>
      </c>
      <c r="O186" s="77">
        <v>41275</v>
      </c>
    </row>
    <row r="187" spans="1:15" ht="14.25">
      <c r="A187" s="74">
        <v>2013</v>
      </c>
      <c r="B187" s="75" t="s">
        <v>390</v>
      </c>
      <c r="C187" s="75" t="s">
        <v>391</v>
      </c>
      <c r="D187" s="76">
        <v>1425062</v>
      </c>
      <c r="E187" s="76">
        <v>2</v>
      </c>
      <c r="F187" s="76"/>
      <c r="G187" s="75">
        <v>530</v>
      </c>
      <c r="H187" s="75">
        <v>26</v>
      </c>
      <c r="I187" s="76" t="s">
        <v>395</v>
      </c>
      <c r="J187" s="76" t="s">
        <v>58</v>
      </c>
      <c r="K187" s="76" t="b">
        <v>1</v>
      </c>
      <c r="L187" s="72">
        <v>2017</v>
      </c>
      <c r="M187" s="73">
        <v>33060241</v>
      </c>
      <c r="N187" s="77">
        <v>41222</v>
      </c>
      <c r="O187" s="77">
        <v>41275</v>
      </c>
    </row>
    <row r="188" spans="1:15" ht="14.25">
      <c r="A188" s="74">
        <v>2013</v>
      </c>
      <c r="B188" s="75" t="s">
        <v>390</v>
      </c>
      <c r="C188" s="75" t="s">
        <v>391</v>
      </c>
      <c r="D188" s="76">
        <v>1425062</v>
      </c>
      <c r="E188" s="76">
        <v>2</v>
      </c>
      <c r="F188" s="76"/>
      <c r="G188" s="75">
        <v>540</v>
      </c>
      <c r="H188" s="75">
        <v>27</v>
      </c>
      <c r="I188" s="76" t="s">
        <v>400</v>
      </c>
      <c r="J188" s="76" t="s">
        <v>45</v>
      </c>
      <c r="K188" s="76" t="b">
        <v>0</v>
      </c>
      <c r="L188" s="72">
        <v>2018</v>
      </c>
      <c r="M188" s="73">
        <v>31928223</v>
      </c>
      <c r="N188" s="77">
        <v>41222</v>
      </c>
      <c r="O188" s="77">
        <v>41275</v>
      </c>
    </row>
    <row r="189" spans="1:15" ht="14.25">
      <c r="A189" s="74">
        <v>2013</v>
      </c>
      <c r="B189" s="75" t="s">
        <v>390</v>
      </c>
      <c r="C189" s="75" t="s">
        <v>391</v>
      </c>
      <c r="D189" s="76">
        <v>1425062</v>
      </c>
      <c r="E189" s="76">
        <v>2</v>
      </c>
      <c r="F189" s="76"/>
      <c r="G189" s="75">
        <v>520</v>
      </c>
      <c r="H189" s="75">
        <v>25</v>
      </c>
      <c r="I189" s="76" t="s">
        <v>393</v>
      </c>
      <c r="J189" s="76" t="s">
        <v>48</v>
      </c>
      <c r="K189" s="76" t="b">
        <v>1</v>
      </c>
      <c r="L189" s="72">
        <v>2014</v>
      </c>
      <c r="M189" s="73">
        <v>2916798</v>
      </c>
      <c r="N189" s="77">
        <v>41222</v>
      </c>
      <c r="O189" s="77">
        <v>41275</v>
      </c>
    </row>
    <row r="190" spans="1:15" ht="14.25">
      <c r="A190" s="74">
        <v>2013</v>
      </c>
      <c r="B190" s="75" t="s">
        <v>390</v>
      </c>
      <c r="C190" s="75" t="s">
        <v>391</v>
      </c>
      <c r="D190" s="76">
        <v>1425062</v>
      </c>
      <c r="E190" s="76">
        <v>2</v>
      </c>
      <c r="F190" s="76"/>
      <c r="G190" s="75">
        <v>490</v>
      </c>
      <c r="H190" s="75" t="s">
        <v>133</v>
      </c>
      <c r="I190" s="76" t="s">
        <v>397</v>
      </c>
      <c r="J190" s="76" t="s">
        <v>292</v>
      </c>
      <c r="K190" s="76" t="b">
        <v>0</v>
      </c>
      <c r="L190" s="72">
        <v>2017</v>
      </c>
      <c r="M190" s="73">
        <v>162</v>
      </c>
      <c r="N190" s="77">
        <v>41222</v>
      </c>
      <c r="O190" s="77">
        <v>41275</v>
      </c>
    </row>
    <row r="191" spans="1:15" ht="14.25">
      <c r="A191" s="74">
        <v>2013</v>
      </c>
      <c r="B191" s="75" t="s">
        <v>390</v>
      </c>
      <c r="C191" s="75" t="s">
        <v>391</v>
      </c>
      <c r="D191" s="76">
        <v>1425062</v>
      </c>
      <c r="E191" s="76">
        <v>2</v>
      </c>
      <c r="F191" s="76"/>
      <c r="G191" s="75">
        <v>400</v>
      </c>
      <c r="H191" s="75">
        <v>18</v>
      </c>
      <c r="I191" s="76" t="s">
        <v>410</v>
      </c>
      <c r="J191" s="76" t="s">
        <v>69</v>
      </c>
      <c r="K191" s="76" t="b">
        <v>0</v>
      </c>
      <c r="L191" s="72">
        <v>2013</v>
      </c>
      <c r="M191" s="73">
        <v>0.3754</v>
      </c>
      <c r="N191" s="77">
        <v>41222</v>
      </c>
      <c r="O191" s="77">
        <v>41275</v>
      </c>
    </row>
    <row r="192" spans="1:15" ht="14.25">
      <c r="A192" s="74">
        <v>2013</v>
      </c>
      <c r="B192" s="75" t="s">
        <v>390</v>
      </c>
      <c r="C192" s="75" t="s">
        <v>391</v>
      </c>
      <c r="D192" s="76">
        <v>1425062</v>
      </c>
      <c r="E192" s="76">
        <v>2</v>
      </c>
      <c r="F192" s="76"/>
      <c r="G192" s="75">
        <v>470</v>
      </c>
      <c r="H192" s="75" t="s">
        <v>132</v>
      </c>
      <c r="I192" s="76" t="s">
        <v>402</v>
      </c>
      <c r="J192" s="76" t="s">
        <v>289</v>
      </c>
      <c r="K192" s="76" t="b">
        <v>0</v>
      </c>
      <c r="L192" s="72">
        <v>2013</v>
      </c>
      <c r="M192" s="73">
        <v>-660</v>
      </c>
      <c r="N192" s="77">
        <v>41222</v>
      </c>
      <c r="O192" s="77">
        <v>41275</v>
      </c>
    </row>
    <row r="193" spans="1:15" ht="14.25">
      <c r="A193" s="74">
        <v>2013</v>
      </c>
      <c r="B193" s="75" t="s">
        <v>390</v>
      </c>
      <c r="C193" s="75" t="s">
        <v>391</v>
      </c>
      <c r="D193" s="76">
        <v>1425062</v>
      </c>
      <c r="E193" s="76">
        <v>2</v>
      </c>
      <c r="F193" s="76"/>
      <c r="G193" s="75">
        <v>540</v>
      </c>
      <c r="H193" s="75">
        <v>27</v>
      </c>
      <c r="I193" s="76" t="s">
        <v>400</v>
      </c>
      <c r="J193" s="76" t="s">
        <v>45</v>
      </c>
      <c r="K193" s="76" t="b">
        <v>0</v>
      </c>
      <c r="L193" s="72">
        <v>2014</v>
      </c>
      <c r="M193" s="73">
        <v>30862737</v>
      </c>
      <c r="N193" s="77">
        <v>41222</v>
      </c>
      <c r="O193" s="77">
        <v>41275</v>
      </c>
    </row>
    <row r="194" spans="1:15" ht="14.25">
      <c r="A194" s="74">
        <v>2013</v>
      </c>
      <c r="B194" s="75" t="s">
        <v>390</v>
      </c>
      <c r="C194" s="75" t="s">
        <v>391</v>
      </c>
      <c r="D194" s="76">
        <v>1425062</v>
      </c>
      <c r="E194" s="76">
        <v>2</v>
      </c>
      <c r="F194" s="76"/>
      <c r="G194" s="75">
        <v>5</v>
      </c>
      <c r="H194" s="75" t="s">
        <v>94</v>
      </c>
      <c r="I194" s="76"/>
      <c r="J194" s="76" t="s">
        <v>268</v>
      </c>
      <c r="K194" s="76" t="b">
        <v>1</v>
      </c>
      <c r="L194" s="72">
        <v>2015</v>
      </c>
      <c r="M194" s="73">
        <v>510000</v>
      </c>
      <c r="N194" s="77">
        <v>41222</v>
      </c>
      <c r="O194" s="77">
        <v>41275</v>
      </c>
    </row>
    <row r="195" spans="1:15" ht="14.25">
      <c r="A195" s="74">
        <v>2013</v>
      </c>
      <c r="B195" s="75" t="s">
        <v>390</v>
      </c>
      <c r="C195" s="75" t="s">
        <v>391</v>
      </c>
      <c r="D195" s="76">
        <v>1425062</v>
      </c>
      <c r="E195" s="76">
        <v>2</v>
      </c>
      <c r="F195" s="76"/>
      <c r="G195" s="75">
        <v>9</v>
      </c>
      <c r="H195" s="75">
        <v>2</v>
      </c>
      <c r="I195" s="76"/>
      <c r="J195" s="76" t="s">
        <v>3</v>
      </c>
      <c r="K195" s="76" t="b">
        <v>1</v>
      </c>
      <c r="L195" s="72">
        <v>2014</v>
      </c>
      <c r="M195" s="73">
        <v>27041737</v>
      </c>
      <c r="N195" s="77">
        <v>41222</v>
      </c>
      <c r="O195" s="77">
        <v>41275</v>
      </c>
    </row>
    <row r="196" spans="1:15" ht="14.25">
      <c r="A196" s="74">
        <v>2013</v>
      </c>
      <c r="B196" s="75" t="s">
        <v>390</v>
      </c>
      <c r="C196" s="75" t="s">
        <v>391</v>
      </c>
      <c r="D196" s="76">
        <v>1425062</v>
      </c>
      <c r="E196" s="76">
        <v>2</v>
      </c>
      <c r="F196" s="76"/>
      <c r="G196" s="75">
        <v>151</v>
      </c>
      <c r="H196" s="75" t="s">
        <v>252</v>
      </c>
      <c r="I196" s="76"/>
      <c r="J196" s="76" t="s">
        <v>251</v>
      </c>
      <c r="K196" s="76" t="b">
        <v>0</v>
      </c>
      <c r="L196" s="72">
        <v>2013</v>
      </c>
      <c r="M196" s="73">
        <v>170050</v>
      </c>
      <c r="N196" s="77">
        <v>41222</v>
      </c>
      <c r="O196" s="77">
        <v>41275</v>
      </c>
    </row>
    <row r="197" spans="1:15" ht="14.25">
      <c r="A197" s="74">
        <v>2013</v>
      </c>
      <c r="B197" s="75" t="s">
        <v>390</v>
      </c>
      <c r="C197" s="75" t="s">
        <v>391</v>
      </c>
      <c r="D197" s="76">
        <v>1425062</v>
      </c>
      <c r="E197" s="76">
        <v>2</v>
      </c>
      <c r="F197" s="76"/>
      <c r="G197" s="75">
        <v>270</v>
      </c>
      <c r="H197" s="75">
        <v>10</v>
      </c>
      <c r="I197" s="76"/>
      <c r="J197" s="76" t="s">
        <v>17</v>
      </c>
      <c r="K197" s="76" t="b">
        <v>0</v>
      </c>
      <c r="L197" s="72">
        <v>2022</v>
      </c>
      <c r="M197" s="73">
        <v>2107995</v>
      </c>
      <c r="N197" s="77">
        <v>41222</v>
      </c>
      <c r="O197" s="77">
        <v>41275</v>
      </c>
    </row>
    <row r="198" spans="1:15" ht="14.25">
      <c r="A198" s="74">
        <v>2013</v>
      </c>
      <c r="B198" s="75" t="s">
        <v>390</v>
      </c>
      <c r="C198" s="75" t="s">
        <v>391</v>
      </c>
      <c r="D198" s="76">
        <v>1425062</v>
      </c>
      <c r="E198" s="76">
        <v>2</v>
      </c>
      <c r="F198" s="76"/>
      <c r="G198" s="75">
        <v>190</v>
      </c>
      <c r="H198" s="75">
        <v>6</v>
      </c>
      <c r="I198" s="76" t="s">
        <v>409</v>
      </c>
      <c r="J198" s="76" t="s">
        <v>111</v>
      </c>
      <c r="K198" s="76" t="b">
        <v>0</v>
      </c>
      <c r="L198" s="72">
        <v>2015</v>
      </c>
      <c r="M198" s="73">
        <v>3071266</v>
      </c>
      <c r="N198" s="77">
        <v>41222</v>
      </c>
      <c r="O198" s="77">
        <v>41275</v>
      </c>
    </row>
    <row r="199" spans="1:15" ht="14.25">
      <c r="A199" s="74">
        <v>2013</v>
      </c>
      <c r="B199" s="75" t="s">
        <v>390</v>
      </c>
      <c r="C199" s="75" t="s">
        <v>391</v>
      </c>
      <c r="D199" s="76">
        <v>1425062</v>
      </c>
      <c r="E199" s="76">
        <v>2</v>
      </c>
      <c r="F199" s="76"/>
      <c r="G199" s="75">
        <v>330</v>
      </c>
      <c r="H199" s="75">
        <v>13</v>
      </c>
      <c r="I199" s="76"/>
      <c r="J199" s="76" t="s">
        <v>277</v>
      </c>
      <c r="K199" s="76" t="b">
        <v>1</v>
      </c>
      <c r="L199" s="72">
        <v>2013</v>
      </c>
      <c r="M199" s="73">
        <v>12078400</v>
      </c>
      <c r="N199" s="77">
        <v>41222</v>
      </c>
      <c r="O199" s="77">
        <v>41275</v>
      </c>
    </row>
    <row r="200" spans="1:15" ht="14.25">
      <c r="A200" s="74">
        <v>2013</v>
      </c>
      <c r="B200" s="75" t="s">
        <v>390</v>
      </c>
      <c r="C200" s="75" t="s">
        <v>391</v>
      </c>
      <c r="D200" s="76">
        <v>1425062</v>
      </c>
      <c r="E200" s="76">
        <v>2</v>
      </c>
      <c r="F200" s="76"/>
      <c r="G200" s="75">
        <v>460</v>
      </c>
      <c r="H200" s="75">
        <v>21</v>
      </c>
      <c r="I200" s="76" t="s">
        <v>392</v>
      </c>
      <c r="J200" s="76" t="s">
        <v>288</v>
      </c>
      <c r="K200" s="76" t="b">
        <v>1</v>
      </c>
      <c r="L200" s="72">
        <v>2013</v>
      </c>
      <c r="M200" s="73">
        <v>0.1365</v>
      </c>
      <c r="N200" s="77">
        <v>41222</v>
      </c>
      <c r="O200" s="77">
        <v>41275</v>
      </c>
    </row>
    <row r="201" spans="1:15" ht="14.25">
      <c r="A201" s="74">
        <v>2013</v>
      </c>
      <c r="B201" s="75" t="s">
        <v>390</v>
      </c>
      <c r="C201" s="75" t="s">
        <v>391</v>
      </c>
      <c r="D201" s="76">
        <v>1425062</v>
      </c>
      <c r="E201" s="76">
        <v>2</v>
      </c>
      <c r="F201" s="76"/>
      <c r="G201" s="75">
        <v>2</v>
      </c>
      <c r="H201" s="75" t="s">
        <v>92</v>
      </c>
      <c r="I201" s="76"/>
      <c r="J201" s="76" t="s">
        <v>266</v>
      </c>
      <c r="K201" s="76" t="b">
        <v>1</v>
      </c>
      <c r="L201" s="72">
        <v>2020</v>
      </c>
      <c r="M201" s="73">
        <v>35241407</v>
      </c>
      <c r="N201" s="77">
        <v>41222</v>
      </c>
      <c r="O201" s="77">
        <v>41275</v>
      </c>
    </row>
    <row r="202" spans="1:15" ht="14.25">
      <c r="A202" s="74">
        <v>2013</v>
      </c>
      <c r="B202" s="75" t="s">
        <v>390</v>
      </c>
      <c r="C202" s="75" t="s">
        <v>391</v>
      </c>
      <c r="D202" s="76">
        <v>1425062</v>
      </c>
      <c r="E202" s="76">
        <v>2</v>
      </c>
      <c r="F202" s="76"/>
      <c r="G202" s="75">
        <v>490</v>
      </c>
      <c r="H202" s="75" t="s">
        <v>133</v>
      </c>
      <c r="I202" s="76" t="s">
        <v>397</v>
      </c>
      <c r="J202" s="76" t="s">
        <v>292</v>
      </c>
      <c r="K202" s="76" t="b">
        <v>0</v>
      </c>
      <c r="L202" s="72">
        <v>2021</v>
      </c>
      <c r="M202" s="73">
        <v>47</v>
      </c>
      <c r="N202" s="77">
        <v>41222</v>
      </c>
      <c r="O202" s="77">
        <v>41275</v>
      </c>
    </row>
    <row r="203" spans="1:15" ht="14.25">
      <c r="A203" s="74">
        <v>2013</v>
      </c>
      <c r="B203" s="75" t="s">
        <v>390</v>
      </c>
      <c r="C203" s="75" t="s">
        <v>391</v>
      </c>
      <c r="D203" s="76">
        <v>1425062</v>
      </c>
      <c r="E203" s="76">
        <v>2</v>
      </c>
      <c r="F203" s="76"/>
      <c r="G203" s="75">
        <v>11</v>
      </c>
      <c r="H203" s="75" t="s">
        <v>99</v>
      </c>
      <c r="I203" s="76"/>
      <c r="J203" s="76" t="s">
        <v>100</v>
      </c>
      <c r="K203" s="76" t="b">
        <v>0</v>
      </c>
      <c r="L203" s="72">
        <v>2017</v>
      </c>
      <c r="M203" s="73">
        <v>3350627</v>
      </c>
      <c r="N203" s="77">
        <v>41222</v>
      </c>
      <c r="O203" s="77">
        <v>41275</v>
      </c>
    </row>
    <row r="204" spans="1:15" ht="14.25">
      <c r="A204" s="74">
        <v>2013</v>
      </c>
      <c r="B204" s="75" t="s">
        <v>390</v>
      </c>
      <c r="C204" s="75" t="s">
        <v>391</v>
      </c>
      <c r="D204" s="76">
        <v>1425062</v>
      </c>
      <c r="E204" s="76">
        <v>2</v>
      </c>
      <c r="F204" s="76"/>
      <c r="G204" s="75">
        <v>260</v>
      </c>
      <c r="H204" s="75">
        <v>9</v>
      </c>
      <c r="I204" s="76" t="s">
        <v>398</v>
      </c>
      <c r="J204" s="76" t="s">
        <v>118</v>
      </c>
      <c r="K204" s="76" t="b">
        <v>0</v>
      </c>
      <c r="L204" s="72">
        <v>2015</v>
      </c>
      <c r="M204" s="73">
        <v>1134366</v>
      </c>
      <c r="N204" s="77">
        <v>41222</v>
      </c>
      <c r="O204" s="77">
        <v>41275</v>
      </c>
    </row>
    <row r="205" spans="1:15" ht="14.25">
      <c r="A205" s="74">
        <v>2013</v>
      </c>
      <c r="B205" s="75" t="s">
        <v>390</v>
      </c>
      <c r="C205" s="75" t="s">
        <v>391</v>
      </c>
      <c r="D205" s="76">
        <v>1425062</v>
      </c>
      <c r="E205" s="76">
        <v>2</v>
      </c>
      <c r="F205" s="76"/>
      <c r="G205" s="75">
        <v>480</v>
      </c>
      <c r="H205" s="75">
        <v>22</v>
      </c>
      <c r="I205" s="76" t="s">
        <v>412</v>
      </c>
      <c r="J205" s="76" t="s">
        <v>291</v>
      </c>
      <c r="K205" s="76" t="b">
        <v>0</v>
      </c>
      <c r="L205" s="72">
        <v>2016</v>
      </c>
      <c r="M205" s="73">
        <v>0.0584</v>
      </c>
      <c r="N205" s="77">
        <v>41222</v>
      </c>
      <c r="O205" s="77">
        <v>41275</v>
      </c>
    </row>
    <row r="206" spans="1:15" ht="14.25">
      <c r="A206" s="74">
        <v>2013</v>
      </c>
      <c r="B206" s="75" t="s">
        <v>390</v>
      </c>
      <c r="C206" s="75" t="s">
        <v>391</v>
      </c>
      <c r="D206" s="76">
        <v>1425062</v>
      </c>
      <c r="E206" s="76">
        <v>2</v>
      </c>
      <c r="F206" s="76"/>
      <c r="G206" s="75">
        <v>440</v>
      </c>
      <c r="H206" s="75">
        <v>20</v>
      </c>
      <c r="I206" s="76" t="s">
        <v>403</v>
      </c>
      <c r="J206" s="76" t="s">
        <v>130</v>
      </c>
      <c r="K206" s="76" t="b">
        <v>1</v>
      </c>
      <c r="L206" s="72">
        <v>2019</v>
      </c>
      <c r="M206" s="73">
        <v>0.0941</v>
      </c>
      <c r="N206" s="77">
        <v>41222</v>
      </c>
      <c r="O206" s="77">
        <v>41275</v>
      </c>
    </row>
    <row r="207" spans="1:15" ht="14.25">
      <c r="A207" s="74">
        <v>2013</v>
      </c>
      <c r="B207" s="75" t="s">
        <v>390</v>
      </c>
      <c r="C207" s="75" t="s">
        <v>391</v>
      </c>
      <c r="D207" s="76">
        <v>1425062</v>
      </c>
      <c r="E207" s="76">
        <v>2</v>
      </c>
      <c r="F207" s="76"/>
      <c r="G207" s="75">
        <v>270</v>
      </c>
      <c r="H207" s="75">
        <v>10</v>
      </c>
      <c r="I207" s="76"/>
      <c r="J207" s="76" t="s">
        <v>17</v>
      </c>
      <c r="K207" s="76" t="b">
        <v>0</v>
      </c>
      <c r="L207" s="72">
        <v>2020</v>
      </c>
      <c r="M207" s="73">
        <v>1610059</v>
      </c>
      <c r="N207" s="77">
        <v>41222</v>
      </c>
      <c r="O207" s="77">
        <v>41275</v>
      </c>
    </row>
    <row r="208" spans="1:15" ht="14.25">
      <c r="A208" s="74">
        <v>2013</v>
      </c>
      <c r="B208" s="75" t="s">
        <v>390</v>
      </c>
      <c r="C208" s="75" t="s">
        <v>391</v>
      </c>
      <c r="D208" s="76">
        <v>1425062</v>
      </c>
      <c r="E208" s="76">
        <v>2</v>
      </c>
      <c r="F208" s="76"/>
      <c r="G208" s="75">
        <v>230</v>
      </c>
      <c r="H208" s="75" t="s">
        <v>115</v>
      </c>
      <c r="I208" s="76"/>
      <c r="J208" s="76" t="s">
        <v>275</v>
      </c>
      <c r="K208" s="76" t="b">
        <v>1</v>
      </c>
      <c r="L208" s="72">
        <v>2017</v>
      </c>
      <c r="M208" s="73">
        <v>350000</v>
      </c>
      <c r="N208" s="77">
        <v>41222</v>
      </c>
      <c r="O208" s="77">
        <v>41275</v>
      </c>
    </row>
    <row r="209" spans="1:15" ht="14.25">
      <c r="A209" s="74">
        <v>2013</v>
      </c>
      <c r="B209" s="75" t="s">
        <v>390</v>
      </c>
      <c r="C209" s="75" t="s">
        <v>391</v>
      </c>
      <c r="D209" s="76">
        <v>1425062</v>
      </c>
      <c r="E209" s="76">
        <v>2</v>
      </c>
      <c r="F209" s="76"/>
      <c r="G209" s="75">
        <v>410</v>
      </c>
      <c r="H209" s="75" t="s">
        <v>128</v>
      </c>
      <c r="I209" s="76" t="s">
        <v>413</v>
      </c>
      <c r="J209" s="76" t="s">
        <v>71</v>
      </c>
      <c r="K209" s="76" t="b">
        <v>0</v>
      </c>
      <c r="L209" s="72">
        <v>2021</v>
      </c>
      <c r="M209" s="73">
        <v>0.0457</v>
      </c>
      <c r="N209" s="77">
        <v>41222</v>
      </c>
      <c r="O209" s="77">
        <v>41275</v>
      </c>
    </row>
    <row r="210" spans="1:15" ht="14.25">
      <c r="A210" s="74">
        <v>2013</v>
      </c>
      <c r="B210" s="75" t="s">
        <v>390</v>
      </c>
      <c r="C210" s="75" t="s">
        <v>391</v>
      </c>
      <c r="D210" s="76">
        <v>1425062</v>
      </c>
      <c r="E210" s="76">
        <v>2</v>
      </c>
      <c r="F210" s="76"/>
      <c r="G210" s="75">
        <v>295</v>
      </c>
      <c r="H210" s="75" t="s">
        <v>257</v>
      </c>
      <c r="I210" s="76"/>
      <c r="J210" s="76" t="s">
        <v>251</v>
      </c>
      <c r="K210" s="76" t="b">
        <v>0</v>
      </c>
      <c r="L210" s="72">
        <v>2017</v>
      </c>
      <c r="M210" s="73">
        <v>510000</v>
      </c>
      <c r="N210" s="77">
        <v>41222</v>
      </c>
      <c r="O210" s="77">
        <v>41275</v>
      </c>
    </row>
    <row r="211" spans="1:15" ht="14.25">
      <c r="A211" s="74">
        <v>2013</v>
      </c>
      <c r="B211" s="75" t="s">
        <v>390</v>
      </c>
      <c r="C211" s="75" t="s">
        <v>391</v>
      </c>
      <c r="D211" s="76">
        <v>1425062</v>
      </c>
      <c r="E211" s="76">
        <v>2</v>
      </c>
      <c r="F211" s="76"/>
      <c r="G211" s="75">
        <v>400</v>
      </c>
      <c r="H211" s="75">
        <v>18</v>
      </c>
      <c r="I211" s="76" t="s">
        <v>410</v>
      </c>
      <c r="J211" s="76" t="s">
        <v>69</v>
      </c>
      <c r="K211" s="76" t="b">
        <v>0</v>
      </c>
      <c r="L211" s="72">
        <v>2014</v>
      </c>
      <c r="M211" s="73">
        <v>0.3747</v>
      </c>
      <c r="N211" s="77">
        <v>41222</v>
      </c>
      <c r="O211" s="77">
        <v>41275</v>
      </c>
    </row>
    <row r="212" spans="1:15" ht="14.25">
      <c r="A212" s="74">
        <v>2013</v>
      </c>
      <c r="B212" s="75" t="s">
        <v>390</v>
      </c>
      <c r="C212" s="75" t="s">
        <v>391</v>
      </c>
      <c r="D212" s="76">
        <v>1425062</v>
      </c>
      <c r="E212" s="76">
        <v>2</v>
      </c>
      <c r="F212" s="76"/>
      <c r="G212" s="75">
        <v>1</v>
      </c>
      <c r="H212" s="75">
        <v>1</v>
      </c>
      <c r="I212" s="76" t="s">
        <v>401</v>
      </c>
      <c r="J212" s="76" t="s">
        <v>91</v>
      </c>
      <c r="K212" s="76" t="b">
        <v>1</v>
      </c>
      <c r="L212" s="72">
        <v>2020</v>
      </c>
      <c r="M212" s="73">
        <v>35241407</v>
      </c>
      <c r="N212" s="77">
        <v>41222</v>
      </c>
      <c r="O212" s="77">
        <v>41275</v>
      </c>
    </row>
    <row r="213" spans="1:15" ht="14.25">
      <c r="A213" s="74">
        <v>2013</v>
      </c>
      <c r="B213" s="75" t="s">
        <v>390</v>
      </c>
      <c r="C213" s="75" t="s">
        <v>391</v>
      </c>
      <c r="D213" s="76">
        <v>1425062</v>
      </c>
      <c r="E213" s="76">
        <v>2</v>
      </c>
      <c r="F213" s="76"/>
      <c r="G213" s="75">
        <v>570</v>
      </c>
      <c r="H213" s="75">
        <v>30</v>
      </c>
      <c r="I213" s="76" t="s">
        <v>404</v>
      </c>
      <c r="J213" s="76" t="s">
        <v>295</v>
      </c>
      <c r="K213" s="76" t="b">
        <v>0</v>
      </c>
      <c r="L213" s="72">
        <v>2022</v>
      </c>
      <c r="M213" s="73">
        <v>1693635</v>
      </c>
      <c r="N213" s="77">
        <v>41222</v>
      </c>
      <c r="O213" s="77">
        <v>41275</v>
      </c>
    </row>
    <row r="214" spans="1:15" ht="14.25">
      <c r="A214" s="74">
        <v>2013</v>
      </c>
      <c r="B214" s="75" t="s">
        <v>390</v>
      </c>
      <c r="C214" s="75" t="s">
        <v>391</v>
      </c>
      <c r="D214" s="76">
        <v>1425062</v>
      </c>
      <c r="E214" s="76">
        <v>2</v>
      </c>
      <c r="F214" s="76"/>
      <c r="G214" s="75">
        <v>420</v>
      </c>
      <c r="H214" s="75">
        <v>19</v>
      </c>
      <c r="I214" s="76" t="s">
        <v>396</v>
      </c>
      <c r="J214" s="76" t="s">
        <v>72</v>
      </c>
      <c r="K214" s="76" t="b">
        <v>1</v>
      </c>
      <c r="L214" s="72">
        <v>2019</v>
      </c>
      <c r="M214" s="73">
        <v>0.0734</v>
      </c>
      <c r="N214" s="77">
        <v>41222</v>
      </c>
      <c r="O214" s="77">
        <v>41275</v>
      </c>
    </row>
    <row r="215" spans="1:15" ht="14.25">
      <c r="A215" s="74">
        <v>2013</v>
      </c>
      <c r="B215" s="75" t="s">
        <v>390</v>
      </c>
      <c r="C215" s="75" t="s">
        <v>391</v>
      </c>
      <c r="D215" s="76">
        <v>1425062</v>
      </c>
      <c r="E215" s="76">
        <v>2</v>
      </c>
      <c r="F215" s="76"/>
      <c r="G215" s="75">
        <v>9</v>
      </c>
      <c r="H215" s="75">
        <v>2</v>
      </c>
      <c r="I215" s="76"/>
      <c r="J215" s="76" t="s">
        <v>3</v>
      </c>
      <c r="K215" s="76" t="b">
        <v>1</v>
      </c>
      <c r="L215" s="72">
        <v>2021</v>
      </c>
      <c r="M215" s="73">
        <v>33426802</v>
      </c>
      <c r="N215" s="77">
        <v>41222</v>
      </c>
      <c r="O215" s="77">
        <v>41275</v>
      </c>
    </row>
    <row r="216" spans="1:15" ht="14.25">
      <c r="A216" s="74">
        <v>2013</v>
      </c>
      <c r="B216" s="75" t="s">
        <v>390</v>
      </c>
      <c r="C216" s="75" t="s">
        <v>391</v>
      </c>
      <c r="D216" s="76">
        <v>1425062</v>
      </c>
      <c r="E216" s="76">
        <v>2</v>
      </c>
      <c r="F216" s="76"/>
      <c r="G216" s="75">
        <v>190</v>
      </c>
      <c r="H216" s="75">
        <v>6</v>
      </c>
      <c r="I216" s="76" t="s">
        <v>409</v>
      </c>
      <c r="J216" s="76" t="s">
        <v>111</v>
      </c>
      <c r="K216" s="76" t="b">
        <v>0</v>
      </c>
      <c r="L216" s="72">
        <v>2014</v>
      </c>
      <c r="M216" s="73">
        <v>4195626</v>
      </c>
      <c r="N216" s="77">
        <v>41222</v>
      </c>
      <c r="O216" s="77">
        <v>41275</v>
      </c>
    </row>
    <row r="217" spans="1:15" ht="14.25">
      <c r="A217" s="74">
        <v>2013</v>
      </c>
      <c r="B217" s="75" t="s">
        <v>390</v>
      </c>
      <c r="C217" s="75" t="s">
        <v>391</v>
      </c>
      <c r="D217" s="76">
        <v>1425062</v>
      </c>
      <c r="E217" s="76">
        <v>2</v>
      </c>
      <c r="F217" s="76"/>
      <c r="G217" s="75">
        <v>11</v>
      </c>
      <c r="H217" s="75" t="s">
        <v>99</v>
      </c>
      <c r="I217" s="76"/>
      <c r="J217" s="76" t="s">
        <v>100</v>
      </c>
      <c r="K217" s="76" t="b">
        <v>0</v>
      </c>
      <c r="L217" s="72">
        <v>2020</v>
      </c>
      <c r="M217" s="73">
        <v>3608258</v>
      </c>
      <c r="N217" s="77">
        <v>41222</v>
      </c>
      <c r="O217" s="77">
        <v>41275</v>
      </c>
    </row>
    <row r="218" spans="1:15" ht="14.25">
      <c r="A218" s="74">
        <v>2013</v>
      </c>
      <c r="B218" s="75" t="s">
        <v>390</v>
      </c>
      <c r="C218" s="75" t="s">
        <v>391</v>
      </c>
      <c r="D218" s="76">
        <v>1425062</v>
      </c>
      <c r="E218" s="76">
        <v>2</v>
      </c>
      <c r="F218" s="76"/>
      <c r="G218" s="75">
        <v>2</v>
      </c>
      <c r="H218" s="75" t="s">
        <v>92</v>
      </c>
      <c r="I218" s="76"/>
      <c r="J218" s="76" t="s">
        <v>266</v>
      </c>
      <c r="K218" s="76" t="b">
        <v>1</v>
      </c>
      <c r="L218" s="72">
        <v>2022</v>
      </c>
      <c r="M218" s="73">
        <v>38130238</v>
      </c>
      <c r="N218" s="77">
        <v>41222</v>
      </c>
      <c r="O218" s="77">
        <v>41275</v>
      </c>
    </row>
    <row r="219" spans="1:15" ht="14.25">
      <c r="A219" s="74">
        <v>2013</v>
      </c>
      <c r="B219" s="75" t="s">
        <v>390</v>
      </c>
      <c r="C219" s="75" t="s">
        <v>391</v>
      </c>
      <c r="D219" s="76">
        <v>1425062</v>
      </c>
      <c r="E219" s="76">
        <v>2</v>
      </c>
      <c r="F219" s="76"/>
      <c r="G219" s="75">
        <v>570</v>
      </c>
      <c r="H219" s="75">
        <v>30</v>
      </c>
      <c r="I219" s="76" t="s">
        <v>404</v>
      </c>
      <c r="J219" s="76" t="s">
        <v>295</v>
      </c>
      <c r="K219" s="76" t="b">
        <v>0</v>
      </c>
      <c r="L219" s="72">
        <v>2014</v>
      </c>
      <c r="M219" s="73">
        <v>781000</v>
      </c>
      <c r="N219" s="77">
        <v>41222</v>
      </c>
      <c r="O219" s="77">
        <v>41275</v>
      </c>
    </row>
    <row r="220" spans="1:15" ht="14.25">
      <c r="A220" s="74">
        <v>2013</v>
      </c>
      <c r="B220" s="75" t="s">
        <v>390</v>
      </c>
      <c r="C220" s="75" t="s">
        <v>391</v>
      </c>
      <c r="D220" s="76">
        <v>1425062</v>
      </c>
      <c r="E220" s="76">
        <v>2</v>
      </c>
      <c r="F220" s="76"/>
      <c r="G220" s="75">
        <v>240</v>
      </c>
      <c r="H220" s="75" t="s">
        <v>116</v>
      </c>
      <c r="I220" s="76"/>
      <c r="J220" s="76" t="s">
        <v>276</v>
      </c>
      <c r="K220" s="76" t="b">
        <v>1</v>
      </c>
      <c r="L220" s="72">
        <v>2019</v>
      </c>
      <c r="M220" s="73">
        <v>120000</v>
      </c>
      <c r="N220" s="77">
        <v>41222</v>
      </c>
      <c r="O220" s="77">
        <v>41275</v>
      </c>
    </row>
    <row r="221" spans="1:15" ht="14.25">
      <c r="A221" s="74">
        <v>2013</v>
      </c>
      <c r="B221" s="75" t="s">
        <v>390</v>
      </c>
      <c r="C221" s="75" t="s">
        <v>391</v>
      </c>
      <c r="D221" s="76">
        <v>1425062</v>
      </c>
      <c r="E221" s="76">
        <v>2</v>
      </c>
      <c r="F221" s="76"/>
      <c r="G221" s="75">
        <v>560</v>
      </c>
      <c r="H221" s="75">
        <v>29</v>
      </c>
      <c r="I221" s="76" t="s">
        <v>408</v>
      </c>
      <c r="J221" s="76" t="s">
        <v>49</v>
      </c>
      <c r="K221" s="76" t="b">
        <v>0</v>
      </c>
      <c r="L221" s="72">
        <v>2014</v>
      </c>
      <c r="M221" s="73">
        <v>406374</v>
      </c>
      <c r="N221" s="77">
        <v>41222</v>
      </c>
      <c r="O221" s="77">
        <v>41275</v>
      </c>
    </row>
    <row r="222" spans="1:15" ht="14.25">
      <c r="A222" s="74">
        <v>2013</v>
      </c>
      <c r="B222" s="75" t="s">
        <v>390</v>
      </c>
      <c r="C222" s="75" t="s">
        <v>391</v>
      </c>
      <c r="D222" s="76">
        <v>1425062</v>
      </c>
      <c r="E222" s="76">
        <v>2</v>
      </c>
      <c r="F222" s="76"/>
      <c r="G222" s="75">
        <v>5</v>
      </c>
      <c r="H222" s="75" t="s">
        <v>94</v>
      </c>
      <c r="I222" s="76"/>
      <c r="J222" s="76" t="s">
        <v>268</v>
      </c>
      <c r="K222" s="76" t="b">
        <v>1</v>
      </c>
      <c r="L222" s="72">
        <v>2016</v>
      </c>
      <c r="M222" s="73">
        <v>1934394</v>
      </c>
      <c r="N222" s="77">
        <v>41222</v>
      </c>
      <c r="O222" s="77">
        <v>41275</v>
      </c>
    </row>
    <row r="223" spans="1:15" ht="14.25">
      <c r="A223" s="74">
        <v>2013</v>
      </c>
      <c r="B223" s="75" t="s">
        <v>390</v>
      </c>
      <c r="C223" s="75" t="s">
        <v>391</v>
      </c>
      <c r="D223" s="76">
        <v>1425062</v>
      </c>
      <c r="E223" s="76">
        <v>2</v>
      </c>
      <c r="F223" s="76"/>
      <c r="G223" s="75">
        <v>210</v>
      </c>
      <c r="H223" s="75" t="s">
        <v>112</v>
      </c>
      <c r="I223" s="76"/>
      <c r="J223" s="76" t="s">
        <v>274</v>
      </c>
      <c r="K223" s="76" t="b">
        <v>1</v>
      </c>
      <c r="L223" s="72">
        <v>2021</v>
      </c>
      <c r="M223" s="73">
        <v>2566576</v>
      </c>
      <c r="N223" s="77">
        <v>41222</v>
      </c>
      <c r="O223" s="77">
        <v>41275</v>
      </c>
    </row>
    <row r="224" spans="1:15" ht="14.25">
      <c r="A224" s="74">
        <v>2013</v>
      </c>
      <c r="B224" s="75" t="s">
        <v>390</v>
      </c>
      <c r="C224" s="75" t="s">
        <v>391</v>
      </c>
      <c r="D224" s="76">
        <v>1425062</v>
      </c>
      <c r="E224" s="76">
        <v>2</v>
      </c>
      <c r="F224" s="76"/>
      <c r="G224" s="75">
        <v>400</v>
      </c>
      <c r="H224" s="75">
        <v>18</v>
      </c>
      <c r="I224" s="76" t="s">
        <v>410</v>
      </c>
      <c r="J224" s="76" t="s">
        <v>69</v>
      </c>
      <c r="K224" s="76" t="b">
        <v>0</v>
      </c>
      <c r="L224" s="72">
        <v>2015</v>
      </c>
      <c r="M224" s="73">
        <v>0.3577</v>
      </c>
      <c r="N224" s="77">
        <v>41222</v>
      </c>
      <c r="O224" s="77">
        <v>41275</v>
      </c>
    </row>
    <row r="225" spans="1:15" ht="14.25">
      <c r="A225" s="74">
        <v>2013</v>
      </c>
      <c r="B225" s="75" t="s">
        <v>390</v>
      </c>
      <c r="C225" s="75" t="s">
        <v>391</v>
      </c>
      <c r="D225" s="76">
        <v>1425062</v>
      </c>
      <c r="E225" s="76">
        <v>2</v>
      </c>
      <c r="F225" s="76"/>
      <c r="G225" s="75">
        <v>470</v>
      </c>
      <c r="H225" s="75" t="s">
        <v>132</v>
      </c>
      <c r="I225" s="76" t="s">
        <v>402</v>
      </c>
      <c r="J225" s="76" t="s">
        <v>289</v>
      </c>
      <c r="K225" s="76" t="b">
        <v>0</v>
      </c>
      <c r="L225" s="72">
        <v>2014</v>
      </c>
      <c r="M225" s="73">
        <v>277</v>
      </c>
      <c r="N225" s="77">
        <v>41222</v>
      </c>
      <c r="O225" s="77">
        <v>41275</v>
      </c>
    </row>
    <row r="226" spans="1:15" ht="14.25">
      <c r="A226" s="74">
        <v>2013</v>
      </c>
      <c r="B226" s="75" t="s">
        <v>390</v>
      </c>
      <c r="C226" s="75" t="s">
        <v>391</v>
      </c>
      <c r="D226" s="76">
        <v>1425062</v>
      </c>
      <c r="E226" s="76">
        <v>2</v>
      </c>
      <c r="F226" s="76"/>
      <c r="G226" s="75">
        <v>430</v>
      </c>
      <c r="H226" s="75" t="s">
        <v>129</v>
      </c>
      <c r="I226" s="76" t="s">
        <v>399</v>
      </c>
      <c r="J226" s="76" t="s">
        <v>74</v>
      </c>
      <c r="K226" s="76" t="b">
        <v>0</v>
      </c>
      <c r="L226" s="72">
        <v>2021</v>
      </c>
      <c r="M226" s="73">
        <v>0.0728</v>
      </c>
      <c r="N226" s="77">
        <v>41222</v>
      </c>
      <c r="O226" s="77">
        <v>41275</v>
      </c>
    </row>
    <row r="227" spans="1:15" ht="14.25">
      <c r="A227" s="74">
        <v>2013</v>
      </c>
      <c r="B227" s="75" t="s">
        <v>390</v>
      </c>
      <c r="C227" s="75" t="s">
        <v>391</v>
      </c>
      <c r="D227" s="76">
        <v>1425062</v>
      </c>
      <c r="E227" s="76">
        <v>2</v>
      </c>
      <c r="F227" s="76"/>
      <c r="G227" s="75">
        <v>451</v>
      </c>
      <c r="H227" s="75" t="s">
        <v>262</v>
      </c>
      <c r="I227" s="76" t="s">
        <v>394</v>
      </c>
      <c r="J227" s="76" t="s">
        <v>287</v>
      </c>
      <c r="K227" s="76" t="b">
        <v>0</v>
      </c>
      <c r="L227" s="72">
        <v>2016</v>
      </c>
      <c r="M227" s="73">
        <v>0.0891</v>
      </c>
      <c r="N227" s="77">
        <v>41222</v>
      </c>
      <c r="O227" s="77">
        <v>41275</v>
      </c>
    </row>
    <row r="228" spans="1:15" ht="14.25">
      <c r="A228" s="74">
        <v>2013</v>
      </c>
      <c r="B228" s="75" t="s">
        <v>390</v>
      </c>
      <c r="C228" s="75" t="s">
        <v>391</v>
      </c>
      <c r="D228" s="76">
        <v>1425062</v>
      </c>
      <c r="E228" s="76">
        <v>2</v>
      </c>
      <c r="F228" s="76"/>
      <c r="G228" s="75">
        <v>370</v>
      </c>
      <c r="H228" s="75">
        <v>16</v>
      </c>
      <c r="I228" s="76"/>
      <c r="J228" s="76" t="s">
        <v>126</v>
      </c>
      <c r="K228" s="76" t="b">
        <v>1</v>
      </c>
      <c r="L228" s="72">
        <v>2019</v>
      </c>
      <c r="M228" s="73">
        <v>2450000</v>
      </c>
      <c r="N228" s="77">
        <v>41222</v>
      </c>
      <c r="O228" s="77">
        <v>41275</v>
      </c>
    </row>
    <row r="229" spans="1:15" ht="14.25">
      <c r="A229" s="74">
        <v>2013</v>
      </c>
      <c r="B229" s="75" t="s">
        <v>390</v>
      </c>
      <c r="C229" s="75" t="s">
        <v>391</v>
      </c>
      <c r="D229" s="76">
        <v>1425062</v>
      </c>
      <c r="E229" s="76">
        <v>2</v>
      </c>
      <c r="F229" s="76"/>
      <c r="G229" s="75">
        <v>8</v>
      </c>
      <c r="H229" s="75" t="s">
        <v>96</v>
      </c>
      <c r="I229" s="76"/>
      <c r="J229" s="76" t="s">
        <v>248</v>
      </c>
      <c r="K229" s="76" t="b">
        <v>1</v>
      </c>
      <c r="L229" s="72">
        <v>2015</v>
      </c>
      <c r="M229" s="73">
        <v>510000</v>
      </c>
      <c r="N229" s="77">
        <v>41222</v>
      </c>
      <c r="O229" s="77">
        <v>41275</v>
      </c>
    </row>
    <row r="230" spans="1:15" ht="14.25">
      <c r="A230" s="74">
        <v>2013</v>
      </c>
      <c r="B230" s="75" t="s">
        <v>390</v>
      </c>
      <c r="C230" s="75" t="s">
        <v>391</v>
      </c>
      <c r="D230" s="76">
        <v>1425062</v>
      </c>
      <c r="E230" s="76">
        <v>2</v>
      </c>
      <c r="F230" s="76"/>
      <c r="G230" s="75">
        <v>190</v>
      </c>
      <c r="H230" s="75">
        <v>6</v>
      </c>
      <c r="I230" s="76" t="s">
        <v>409</v>
      </c>
      <c r="J230" s="76" t="s">
        <v>111</v>
      </c>
      <c r="K230" s="76" t="b">
        <v>0</v>
      </c>
      <c r="L230" s="72">
        <v>2022</v>
      </c>
      <c r="M230" s="73">
        <v>3921630</v>
      </c>
      <c r="N230" s="77">
        <v>41222</v>
      </c>
      <c r="O230" s="77">
        <v>41275</v>
      </c>
    </row>
    <row r="231" spans="1:15" ht="14.25">
      <c r="A231" s="74">
        <v>2013</v>
      </c>
      <c r="B231" s="75" t="s">
        <v>390</v>
      </c>
      <c r="C231" s="75" t="s">
        <v>391</v>
      </c>
      <c r="D231" s="76">
        <v>1425062</v>
      </c>
      <c r="E231" s="76">
        <v>2</v>
      </c>
      <c r="F231" s="76"/>
      <c r="G231" s="75">
        <v>500</v>
      </c>
      <c r="H231" s="75">
        <v>23</v>
      </c>
      <c r="I231" s="76" t="s">
        <v>414</v>
      </c>
      <c r="J231" s="76" t="s">
        <v>59</v>
      </c>
      <c r="K231" s="76" t="b">
        <v>1</v>
      </c>
      <c r="L231" s="72">
        <v>2017</v>
      </c>
      <c r="M231" s="73">
        <v>32550241</v>
      </c>
      <c r="N231" s="77">
        <v>41222</v>
      </c>
      <c r="O231" s="77">
        <v>41275</v>
      </c>
    </row>
    <row r="232" spans="1:15" ht="14.25">
      <c r="A232" s="74">
        <v>2013</v>
      </c>
      <c r="B232" s="75" t="s">
        <v>390</v>
      </c>
      <c r="C232" s="75" t="s">
        <v>391</v>
      </c>
      <c r="D232" s="76">
        <v>1425062</v>
      </c>
      <c r="E232" s="76">
        <v>2</v>
      </c>
      <c r="F232" s="76"/>
      <c r="G232" s="75">
        <v>290</v>
      </c>
      <c r="H232" s="75" t="s">
        <v>121</v>
      </c>
      <c r="I232" s="76"/>
      <c r="J232" s="76" t="s">
        <v>271</v>
      </c>
      <c r="K232" s="76" t="b">
        <v>0</v>
      </c>
      <c r="L232" s="72">
        <v>2016</v>
      </c>
      <c r="M232" s="73">
        <v>4102930</v>
      </c>
      <c r="N232" s="77">
        <v>41222</v>
      </c>
      <c r="O232" s="77">
        <v>41275</v>
      </c>
    </row>
    <row r="233" spans="1:15" ht="14.25">
      <c r="A233" s="74">
        <v>2013</v>
      </c>
      <c r="B233" s="75" t="s">
        <v>390</v>
      </c>
      <c r="C233" s="75" t="s">
        <v>391</v>
      </c>
      <c r="D233" s="76">
        <v>1425062</v>
      </c>
      <c r="E233" s="76">
        <v>2</v>
      </c>
      <c r="F233" s="76"/>
      <c r="G233" s="75">
        <v>451</v>
      </c>
      <c r="H233" s="75" t="s">
        <v>262</v>
      </c>
      <c r="I233" s="76" t="s">
        <v>394</v>
      </c>
      <c r="J233" s="76" t="s">
        <v>287</v>
      </c>
      <c r="K233" s="76" t="b">
        <v>0</v>
      </c>
      <c r="L233" s="72">
        <v>2022</v>
      </c>
      <c r="M233" s="73">
        <v>0.0825</v>
      </c>
      <c r="N233" s="77">
        <v>41222</v>
      </c>
      <c r="O233" s="77">
        <v>41275</v>
      </c>
    </row>
    <row r="234" spans="1:15" ht="14.25">
      <c r="A234" s="74">
        <v>2013</v>
      </c>
      <c r="B234" s="75" t="s">
        <v>390</v>
      </c>
      <c r="C234" s="75" t="s">
        <v>391</v>
      </c>
      <c r="D234" s="76">
        <v>1425062</v>
      </c>
      <c r="E234" s="76">
        <v>2</v>
      </c>
      <c r="F234" s="76"/>
      <c r="G234" s="75">
        <v>490</v>
      </c>
      <c r="H234" s="75" t="s">
        <v>133</v>
      </c>
      <c r="I234" s="76" t="s">
        <v>397</v>
      </c>
      <c r="J234" s="76" t="s">
        <v>292</v>
      </c>
      <c r="K234" s="76" t="b">
        <v>0</v>
      </c>
      <c r="L234" s="72">
        <v>2014</v>
      </c>
      <c r="M234" s="73">
        <v>277</v>
      </c>
      <c r="N234" s="77">
        <v>41222</v>
      </c>
      <c r="O234" s="77">
        <v>41275</v>
      </c>
    </row>
    <row r="235" spans="1:15" ht="14.25">
      <c r="A235" s="74">
        <v>2013</v>
      </c>
      <c r="B235" s="75" t="s">
        <v>390</v>
      </c>
      <c r="C235" s="75" t="s">
        <v>391</v>
      </c>
      <c r="D235" s="76">
        <v>1425062</v>
      </c>
      <c r="E235" s="76">
        <v>2</v>
      </c>
      <c r="F235" s="76"/>
      <c r="G235" s="75">
        <v>280</v>
      </c>
      <c r="H235" s="75" t="s">
        <v>119</v>
      </c>
      <c r="I235" s="76"/>
      <c r="J235" s="76" t="s">
        <v>120</v>
      </c>
      <c r="K235" s="76" t="b">
        <v>0</v>
      </c>
      <c r="L235" s="72">
        <v>2016</v>
      </c>
      <c r="M235" s="73">
        <v>4102930</v>
      </c>
      <c r="N235" s="77">
        <v>41222</v>
      </c>
      <c r="O235" s="77">
        <v>41275</v>
      </c>
    </row>
    <row r="236" spans="1:15" ht="14.25">
      <c r="A236" s="74">
        <v>2013</v>
      </c>
      <c r="B236" s="75" t="s">
        <v>390</v>
      </c>
      <c r="C236" s="75" t="s">
        <v>391</v>
      </c>
      <c r="D236" s="76">
        <v>1425062</v>
      </c>
      <c r="E236" s="76">
        <v>2</v>
      </c>
      <c r="F236" s="76"/>
      <c r="G236" s="75">
        <v>471</v>
      </c>
      <c r="H236" s="75" t="s">
        <v>263</v>
      </c>
      <c r="I236" s="76" t="s">
        <v>402</v>
      </c>
      <c r="J236" s="76" t="s">
        <v>290</v>
      </c>
      <c r="K236" s="76" t="b">
        <v>0</v>
      </c>
      <c r="L236" s="72">
        <v>2019</v>
      </c>
      <c r="M236" s="73">
        <v>3</v>
      </c>
      <c r="N236" s="77">
        <v>41222</v>
      </c>
      <c r="O236" s="77">
        <v>41275</v>
      </c>
    </row>
    <row r="237" spans="1:15" ht="14.25">
      <c r="A237" s="74">
        <v>2013</v>
      </c>
      <c r="B237" s="75" t="s">
        <v>390</v>
      </c>
      <c r="C237" s="75" t="s">
        <v>391</v>
      </c>
      <c r="D237" s="76">
        <v>1425062</v>
      </c>
      <c r="E237" s="76">
        <v>2</v>
      </c>
      <c r="F237" s="76"/>
      <c r="G237" s="75">
        <v>370</v>
      </c>
      <c r="H237" s="75">
        <v>16</v>
      </c>
      <c r="I237" s="76"/>
      <c r="J237" s="76" t="s">
        <v>126</v>
      </c>
      <c r="K237" s="76" t="b">
        <v>1</v>
      </c>
      <c r="L237" s="72">
        <v>2016</v>
      </c>
      <c r="M237" s="73">
        <v>438297</v>
      </c>
      <c r="N237" s="77">
        <v>41222</v>
      </c>
      <c r="O237" s="77">
        <v>41275</v>
      </c>
    </row>
    <row r="238" spans="1:15" ht="14.25">
      <c r="A238" s="74">
        <v>2013</v>
      </c>
      <c r="B238" s="75" t="s">
        <v>390</v>
      </c>
      <c r="C238" s="75" t="s">
        <v>391</v>
      </c>
      <c r="D238" s="76">
        <v>1425062</v>
      </c>
      <c r="E238" s="76">
        <v>2</v>
      </c>
      <c r="F238" s="76"/>
      <c r="G238" s="75">
        <v>240</v>
      </c>
      <c r="H238" s="75" t="s">
        <v>116</v>
      </c>
      <c r="I238" s="76"/>
      <c r="J238" s="76" t="s">
        <v>276</v>
      </c>
      <c r="K238" s="76" t="b">
        <v>1</v>
      </c>
      <c r="L238" s="72">
        <v>2021</v>
      </c>
      <c r="M238" s="73">
        <v>130000</v>
      </c>
      <c r="N238" s="77">
        <v>41222</v>
      </c>
      <c r="O238" s="77">
        <v>41275</v>
      </c>
    </row>
    <row r="239" spans="1:15" ht="14.25">
      <c r="A239" s="74">
        <v>2013</v>
      </c>
      <c r="B239" s="75" t="s">
        <v>390</v>
      </c>
      <c r="C239" s="75" t="s">
        <v>391</v>
      </c>
      <c r="D239" s="76">
        <v>1425062</v>
      </c>
      <c r="E239" s="76">
        <v>2</v>
      </c>
      <c r="F239" s="76"/>
      <c r="G239" s="75">
        <v>3</v>
      </c>
      <c r="H239" s="75" t="s">
        <v>245</v>
      </c>
      <c r="I239" s="76"/>
      <c r="J239" s="76" t="s">
        <v>244</v>
      </c>
      <c r="K239" s="76" t="b">
        <v>1</v>
      </c>
      <c r="L239" s="72">
        <v>2014</v>
      </c>
      <c r="M239" s="73">
        <v>179000</v>
      </c>
      <c r="N239" s="77">
        <v>41222</v>
      </c>
      <c r="O239" s="77">
        <v>41275</v>
      </c>
    </row>
    <row r="240" spans="1:15" ht="14.25">
      <c r="A240" s="74">
        <v>2013</v>
      </c>
      <c r="B240" s="75" t="s">
        <v>390</v>
      </c>
      <c r="C240" s="75" t="s">
        <v>391</v>
      </c>
      <c r="D240" s="76">
        <v>1425062</v>
      </c>
      <c r="E240" s="76">
        <v>2</v>
      </c>
      <c r="F240" s="76"/>
      <c r="G240" s="75">
        <v>480</v>
      </c>
      <c r="H240" s="75">
        <v>22</v>
      </c>
      <c r="I240" s="76" t="s">
        <v>412</v>
      </c>
      <c r="J240" s="76" t="s">
        <v>291</v>
      </c>
      <c r="K240" s="76" t="b">
        <v>0</v>
      </c>
      <c r="L240" s="72">
        <v>2014</v>
      </c>
      <c r="M240" s="73">
        <v>0.0442</v>
      </c>
      <c r="N240" s="77">
        <v>41222</v>
      </c>
      <c r="O240" s="77">
        <v>41275</v>
      </c>
    </row>
    <row r="241" spans="1:15" ht="14.25">
      <c r="A241" s="74">
        <v>2013</v>
      </c>
      <c r="B241" s="75" t="s">
        <v>390</v>
      </c>
      <c r="C241" s="75" t="s">
        <v>391</v>
      </c>
      <c r="D241" s="76">
        <v>1425062</v>
      </c>
      <c r="E241" s="76">
        <v>2</v>
      </c>
      <c r="F241" s="76"/>
      <c r="G241" s="75">
        <v>8</v>
      </c>
      <c r="H241" s="75" t="s">
        <v>96</v>
      </c>
      <c r="I241" s="76"/>
      <c r="J241" s="76" t="s">
        <v>248</v>
      </c>
      <c r="K241" s="76" t="b">
        <v>1</v>
      </c>
      <c r="L241" s="72">
        <v>2016</v>
      </c>
      <c r="M241" s="73">
        <v>1934394</v>
      </c>
      <c r="N241" s="77">
        <v>41222</v>
      </c>
      <c r="O241" s="77">
        <v>41275</v>
      </c>
    </row>
    <row r="242" spans="1:15" ht="14.25">
      <c r="A242" s="74">
        <v>2013</v>
      </c>
      <c r="B242" s="75" t="s">
        <v>390</v>
      </c>
      <c r="C242" s="75" t="s">
        <v>391</v>
      </c>
      <c r="D242" s="76">
        <v>1425062</v>
      </c>
      <c r="E242" s="76">
        <v>2</v>
      </c>
      <c r="F242" s="76"/>
      <c r="G242" s="75">
        <v>550</v>
      </c>
      <c r="H242" s="75">
        <v>28</v>
      </c>
      <c r="I242" s="76" t="s">
        <v>405</v>
      </c>
      <c r="J242" s="76" t="s">
        <v>47</v>
      </c>
      <c r="K242" s="76" t="b">
        <v>0</v>
      </c>
      <c r="L242" s="72">
        <v>2020</v>
      </c>
      <c r="M242" s="73">
        <v>500000</v>
      </c>
      <c r="N242" s="77">
        <v>41222</v>
      </c>
      <c r="O242" s="77">
        <v>41275</v>
      </c>
    </row>
    <row r="243" spans="1:15" ht="14.25">
      <c r="A243" s="74">
        <v>2013</v>
      </c>
      <c r="B243" s="75" t="s">
        <v>390</v>
      </c>
      <c r="C243" s="75" t="s">
        <v>391</v>
      </c>
      <c r="D243" s="76">
        <v>1425062</v>
      </c>
      <c r="E243" s="76">
        <v>2</v>
      </c>
      <c r="F243" s="76"/>
      <c r="G243" s="75">
        <v>200</v>
      </c>
      <c r="H243" s="75">
        <v>7</v>
      </c>
      <c r="I243" s="76" t="s">
        <v>411</v>
      </c>
      <c r="J243" s="76" t="s">
        <v>11</v>
      </c>
      <c r="K243" s="76" t="b">
        <v>1</v>
      </c>
      <c r="L243" s="72">
        <v>2013</v>
      </c>
      <c r="M243" s="73">
        <v>4400600</v>
      </c>
      <c r="N243" s="77">
        <v>41222</v>
      </c>
      <c r="O243" s="77">
        <v>41275</v>
      </c>
    </row>
    <row r="244" spans="1:15" ht="14.25">
      <c r="A244" s="74">
        <v>2013</v>
      </c>
      <c r="B244" s="75" t="s">
        <v>390</v>
      </c>
      <c r="C244" s="75" t="s">
        <v>391</v>
      </c>
      <c r="D244" s="76">
        <v>1425062</v>
      </c>
      <c r="E244" s="76">
        <v>2</v>
      </c>
      <c r="F244" s="76"/>
      <c r="G244" s="75">
        <v>7</v>
      </c>
      <c r="H244" s="75" t="s">
        <v>246</v>
      </c>
      <c r="I244" s="76"/>
      <c r="J244" s="76" t="s">
        <v>247</v>
      </c>
      <c r="K244" s="76" t="b">
        <v>1</v>
      </c>
      <c r="L244" s="72">
        <v>2017</v>
      </c>
      <c r="M244" s="73">
        <v>510000</v>
      </c>
      <c r="N244" s="77">
        <v>41222</v>
      </c>
      <c r="O244" s="77">
        <v>41275</v>
      </c>
    </row>
    <row r="245" spans="1:15" ht="14.25">
      <c r="A245" s="74">
        <v>2013</v>
      </c>
      <c r="B245" s="75" t="s">
        <v>390</v>
      </c>
      <c r="C245" s="75" t="s">
        <v>391</v>
      </c>
      <c r="D245" s="76">
        <v>1425062</v>
      </c>
      <c r="E245" s="76">
        <v>2</v>
      </c>
      <c r="F245" s="76"/>
      <c r="G245" s="75">
        <v>430</v>
      </c>
      <c r="H245" s="75" t="s">
        <v>129</v>
      </c>
      <c r="I245" s="76" t="s">
        <v>399</v>
      </c>
      <c r="J245" s="76" t="s">
        <v>74</v>
      </c>
      <c r="K245" s="76" t="b">
        <v>0</v>
      </c>
      <c r="L245" s="72">
        <v>2016</v>
      </c>
      <c r="M245" s="73">
        <v>0.0584</v>
      </c>
      <c r="N245" s="77">
        <v>41222</v>
      </c>
      <c r="O245" s="77">
        <v>41275</v>
      </c>
    </row>
    <row r="246" spans="1:15" ht="14.25">
      <c r="A246" s="74">
        <v>2013</v>
      </c>
      <c r="B246" s="75" t="s">
        <v>390</v>
      </c>
      <c r="C246" s="75" t="s">
        <v>391</v>
      </c>
      <c r="D246" s="76">
        <v>1425062</v>
      </c>
      <c r="E246" s="76">
        <v>2</v>
      </c>
      <c r="F246" s="76"/>
      <c r="G246" s="75">
        <v>1</v>
      </c>
      <c r="H246" s="75">
        <v>1</v>
      </c>
      <c r="I246" s="76" t="s">
        <v>401</v>
      </c>
      <c r="J246" s="76" t="s">
        <v>91</v>
      </c>
      <c r="K246" s="76" t="b">
        <v>1</v>
      </c>
      <c r="L246" s="72">
        <v>2016</v>
      </c>
      <c r="M246" s="73">
        <v>34049571</v>
      </c>
      <c r="N246" s="77">
        <v>41222</v>
      </c>
      <c r="O246" s="77">
        <v>41275</v>
      </c>
    </row>
    <row r="247" spans="1:15" ht="14.25">
      <c r="A247" s="74">
        <v>2013</v>
      </c>
      <c r="B247" s="75" t="s">
        <v>390</v>
      </c>
      <c r="C247" s="75" t="s">
        <v>391</v>
      </c>
      <c r="D247" s="76">
        <v>1425062</v>
      </c>
      <c r="E247" s="76">
        <v>2</v>
      </c>
      <c r="F247" s="76"/>
      <c r="G247" s="75">
        <v>460</v>
      </c>
      <c r="H247" s="75">
        <v>21</v>
      </c>
      <c r="I247" s="76" t="s">
        <v>392</v>
      </c>
      <c r="J247" s="76" t="s">
        <v>288</v>
      </c>
      <c r="K247" s="76" t="b">
        <v>1</v>
      </c>
      <c r="L247" s="72">
        <v>2014</v>
      </c>
      <c r="M247" s="73">
        <v>0.0442</v>
      </c>
      <c r="N247" s="77">
        <v>41222</v>
      </c>
      <c r="O247" s="77">
        <v>41275</v>
      </c>
    </row>
    <row r="248" spans="1:15" ht="14.25">
      <c r="A248" s="74">
        <v>2013</v>
      </c>
      <c r="B248" s="75" t="s">
        <v>390</v>
      </c>
      <c r="C248" s="75" t="s">
        <v>391</v>
      </c>
      <c r="D248" s="76">
        <v>1425062</v>
      </c>
      <c r="E248" s="76">
        <v>2</v>
      </c>
      <c r="F248" s="76"/>
      <c r="G248" s="75">
        <v>510</v>
      </c>
      <c r="H248" s="75">
        <v>24</v>
      </c>
      <c r="I248" s="76" t="s">
        <v>407</v>
      </c>
      <c r="J248" s="76" t="s">
        <v>294</v>
      </c>
      <c r="K248" s="76" t="b">
        <v>1</v>
      </c>
      <c r="L248" s="72">
        <v>2022</v>
      </c>
      <c r="M248" s="73">
        <v>34328608</v>
      </c>
      <c r="N248" s="77">
        <v>41222</v>
      </c>
      <c r="O248" s="77">
        <v>41275</v>
      </c>
    </row>
    <row r="249" spans="1:15" ht="14.25">
      <c r="A249" s="74">
        <v>2013</v>
      </c>
      <c r="B249" s="75" t="s">
        <v>390</v>
      </c>
      <c r="C249" s="75" t="s">
        <v>391</v>
      </c>
      <c r="D249" s="76">
        <v>1425062</v>
      </c>
      <c r="E249" s="76">
        <v>2</v>
      </c>
      <c r="F249" s="76"/>
      <c r="G249" s="75">
        <v>11</v>
      </c>
      <c r="H249" s="75" t="s">
        <v>99</v>
      </c>
      <c r="I249" s="76"/>
      <c r="J249" s="76" t="s">
        <v>100</v>
      </c>
      <c r="K249" s="76" t="b">
        <v>0</v>
      </c>
      <c r="L249" s="72">
        <v>2016</v>
      </c>
      <c r="M249" s="73">
        <v>3265718</v>
      </c>
      <c r="N249" s="77">
        <v>41222</v>
      </c>
      <c r="O249" s="77">
        <v>41275</v>
      </c>
    </row>
    <row r="250" spans="1:15" ht="14.25">
      <c r="A250" s="74">
        <v>2013</v>
      </c>
      <c r="B250" s="75" t="s">
        <v>390</v>
      </c>
      <c r="C250" s="75" t="s">
        <v>391</v>
      </c>
      <c r="D250" s="76">
        <v>1425062</v>
      </c>
      <c r="E250" s="76">
        <v>2</v>
      </c>
      <c r="F250" s="76"/>
      <c r="G250" s="75">
        <v>480</v>
      </c>
      <c r="H250" s="75">
        <v>22</v>
      </c>
      <c r="I250" s="76" t="s">
        <v>412</v>
      </c>
      <c r="J250" s="76" t="s">
        <v>291</v>
      </c>
      <c r="K250" s="76" t="b">
        <v>0</v>
      </c>
      <c r="L250" s="72">
        <v>2018</v>
      </c>
      <c r="M250" s="73">
        <v>0.0649</v>
      </c>
      <c r="N250" s="77">
        <v>41222</v>
      </c>
      <c r="O250" s="77">
        <v>41275</v>
      </c>
    </row>
    <row r="251" spans="1:15" ht="14.25">
      <c r="A251" s="74">
        <v>2013</v>
      </c>
      <c r="B251" s="75" t="s">
        <v>390</v>
      </c>
      <c r="C251" s="75" t="s">
        <v>391</v>
      </c>
      <c r="D251" s="76">
        <v>1425062</v>
      </c>
      <c r="E251" s="76">
        <v>2</v>
      </c>
      <c r="F251" s="76"/>
      <c r="G251" s="75">
        <v>2</v>
      </c>
      <c r="H251" s="75" t="s">
        <v>92</v>
      </c>
      <c r="I251" s="76"/>
      <c r="J251" s="76" t="s">
        <v>266</v>
      </c>
      <c r="K251" s="76" t="b">
        <v>1</v>
      </c>
      <c r="L251" s="72">
        <v>2021</v>
      </c>
      <c r="M251" s="73">
        <v>37019649</v>
      </c>
      <c r="N251" s="77">
        <v>41222</v>
      </c>
      <c r="O251" s="77">
        <v>41275</v>
      </c>
    </row>
    <row r="252" spans="1:15" ht="14.25">
      <c r="A252" s="74">
        <v>2013</v>
      </c>
      <c r="B252" s="75" t="s">
        <v>390</v>
      </c>
      <c r="C252" s="75" t="s">
        <v>391</v>
      </c>
      <c r="D252" s="76">
        <v>1425062</v>
      </c>
      <c r="E252" s="76">
        <v>2</v>
      </c>
      <c r="F252" s="76"/>
      <c r="G252" s="75">
        <v>290</v>
      </c>
      <c r="H252" s="75" t="s">
        <v>121</v>
      </c>
      <c r="I252" s="76"/>
      <c r="J252" s="76" t="s">
        <v>271</v>
      </c>
      <c r="K252" s="76" t="b">
        <v>0</v>
      </c>
      <c r="L252" s="72">
        <v>2014</v>
      </c>
      <c r="M252" s="73">
        <v>3017107</v>
      </c>
      <c r="N252" s="77">
        <v>41222</v>
      </c>
      <c r="O252" s="77">
        <v>41275</v>
      </c>
    </row>
    <row r="253" spans="1:15" ht="14.25">
      <c r="A253" s="74">
        <v>2013</v>
      </c>
      <c r="B253" s="75" t="s">
        <v>390</v>
      </c>
      <c r="C253" s="75" t="s">
        <v>391</v>
      </c>
      <c r="D253" s="76">
        <v>1425062</v>
      </c>
      <c r="E253" s="76">
        <v>2</v>
      </c>
      <c r="F253" s="76"/>
      <c r="G253" s="75">
        <v>480</v>
      </c>
      <c r="H253" s="75">
        <v>22</v>
      </c>
      <c r="I253" s="76" t="s">
        <v>412</v>
      </c>
      <c r="J253" s="76" t="s">
        <v>291</v>
      </c>
      <c r="K253" s="76" t="b">
        <v>0</v>
      </c>
      <c r="L253" s="72">
        <v>2015</v>
      </c>
      <c r="M253" s="73">
        <v>0.061</v>
      </c>
      <c r="N253" s="77">
        <v>41222</v>
      </c>
      <c r="O253" s="77">
        <v>41275</v>
      </c>
    </row>
    <row r="254" spans="1:15" ht="14.25">
      <c r="A254" s="74">
        <v>2013</v>
      </c>
      <c r="B254" s="75" t="s">
        <v>390</v>
      </c>
      <c r="C254" s="75" t="s">
        <v>391</v>
      </c>
      <c r="D254" s="76">
        <v>1425062</v>
      </c>
      <c r="E254" s="76">
        <v>2</v>
      </c>
      <c r="F254" s="76"/>
      <c r="G254" s="75">
        <v>500</v>
      </c>
      <c r="H254" s="75">
        <v>23</v>
      </c>
      <c r="I254" s="76" t="s">
        <v>414</v>
      </c>
      <c r="J254" s="76" t="s">
        <v>59</v>
      </c>
      <c r="K254" s="76" t="b">
        <v>1</v>
      </c>
      <c r="L254" s="72">
        <v>2021</v>
      </c>
      <c r="M254" s="73">
        <v>37019649</v>
      </c>
      <c r="N254" s="77">
        <v>41222</v>
      </c>
      <c r="O254" s="77">
        <v>41275</v>
      </c>
    </row>
    <row r="255" spans="1:15" ht="14.25">
      <c r="A255" s="74">
        <v>2013</v>
      </c>
      <c r="B255" s="75" t="s">
        <v>390</v>
      </c>
      <c r="C255" s="75" t="s">
        <v>391</v>
      </c>
      <c r="D255" s="76">
        <v>1425062</v>
      </c>
      <c r="E255" s="76">
        <v>2</v>
      </c>
      <c r="F255" s="76"/>
      <c r="G255" s="75">
        <v>430</v>
      </c>
      <c r="H255" s="75" t="s">
        <v>129</v>
      </c>
      <c r="I255" s="76" t="s">
        <v>399</v>
      </c>
      <c r="J255" s="76" t="s">
        <v>74</v>
      </c>
      <c r="K255" s="76" t="b">
        <v>0</v>
      </c>
      <c r="L255" s="72">
        <v>2015</v>
      </c>
      <c r="M255" s="73">
        <v>0.061</v>
      </c>
      <c r="N255" s="77">
        <v>41222</v>
      </c>
      <c r="O255" s="77">
        <v>41275</v>
      </c>
    </row>
    <row r="256" spans="1:15" ht="14.25">
      <c r="A256" s="74">
        <v>2013</v>
      </c>
      <c r="B256" s="75" t="s">
        <v>390</v>
      </c>
      <c r="C256" s="75" t="s">
        <v>391</v>
      </c>
      <c r="D256" s="76">
        <v>1425062</v>
      </c>
      <c r="E256" s="76">
        <v>2</v>
      </c>
      <c r="F256" s="76"/>
      <c r="G256" s="75">
        <v>2</v>
      </c>
      <c r="H256" s="75" t="s">
        <v>92</v>
      </c>
      <c r="I256" s="76"/>
      <c r="J256" s="76" t="s">
        <v>266</v>
      </c>
      <c r="K256" s="76" t="b">
        <v>1</v>
      </c>
      <c r="L256" s="72">
        <v>2016</v>
      </c>
      <c r="M256" s="73">
        <v>32115177</v>
      </c>
      <c r="N256" s="77">
        <v>41222</v>
      </c>
      <c r="O256" s="77">
        <v>41275</v>
      </c>
    </row>
    <row r="257" spans="1:15" ht="14.25">
      <c r="A257" s="74">
        <v>2013</v>
      </c>
      <c r="B257" s="75" t="s">
        <v>390</v>
      </c>
      <c r="C257" s="75" t="s">
        <v>391</v>
      </c>
      <c r="D257" s="76">
        <v>1425062</v>
      </c>
      <c r="E257" s="76">
        <v>2</v>
      </c>
      <c r="F257" s="76"/>
      <c r="G257" s="75">
        <v>295</v>
      </c>
      <c r="H257" s="75" t="s">
        <v>257</v>
      </c>
      <c r="I257" s="76"/>
      <c r="J257" s="76" t="s">
        <v>251</v>
      </c>
      <c r="K257" s="76" t="b">
        <v>0</v>
      </c>
      <c r="L257" s="72">
        <v>2016</v>
      </c>
      <c r="M257" s="73">
        <v>1934394</v>
      </c>
      <c r="N257" s="77">
        <v>41222</v>
      </c>
      <c r="O257" s="77">
        <v>41275</v>
      </c>
    </row>
    <row r="258" spans="1:15" ht="14.25">
      <c r="A258" s="74">
        <v>2013</v>
      </c>
      <c r="B258" s="75" t="s">
        <v>390</v>
      </c>
      <c r="C258" s="75" t="s">
        <v>391</v>
      </c>
      <c r="D258" s="76">
        <v>1425062</v>
      </c>
      <c r="E258" s="76">
        <v>2</v>
      </c>
      <c r="F258" s="76"/>
      <c r="G258" s="75">
        <v>7</v>
      </c>
      <c r="H258" s="75" t="s">
        <v>246</v>
      </c>
      <c r="I258" s="76"/>
      <c r="J258" s="76" t="s">
        <v>247</v>
      </c>
      <c r="K258" s="76" t="b">
        <v>1</v>
      </c>
      <c r="L258" s="72">
        <v>2016</v>
      </c>
      <c r="M258" s="73">
        <v>1934394</v>
      </c>
      <c r="N258" s="77">
        <v>41222</v>
      </c>
      <c r="O258" s="77">
        <v>41275</v>
      </c>
    </row>
    <row r="259" spans="1:15" ht="14.25">
      <c r="A259" s="74">
        <v>2013</v>
      </c>
      <c r="B259" s="75" t="s">
        <v>390</v>
      </c>
      <c r="C259" s="75" t="s">
        <v>391</v>
      </c>
      <c r="D259" s="76">
        <v>1425062</v>
      </c>
      <c r="E259" s="76">
        <v>2</v>
      </c>
      <c r="F259" s="76"/>
      <c r="G259" s="75">
        <v>450</v>
      </c>
      <c r="H259" s="75" t="s">
        <v>131</v>
      </c>
      <c r="I259" s="76" t="s">
        <v>394</v>
      </c>
      <c r="J259" s="76" t="s">
        <v>52</v>
      </c>
      <c r="K259" s="76" t="b">
        <v>0</v>
      </c>
      <c r="L259" s="72">
        <v>2016</v>
      </c>
      <c r="M259" s="73">
        <v>0.0891</v>
      </c>
      <c r="N259" s="77">
        <v>41222</v>
      </c>
      <c r="O259" s="77">
        <v>41275</v>
      </c>
    </row>
    <row r="260" spans="1:15" ht="14.25">
      <c r="A260" s="74">
        <v>2013</v>
      </c>
      <c r="B260" s="75" t="s">
        <v>390</v>
      </c>
      <c r="C260" s="75" t="s">
        <v>391</v>
      </c>
      <c r="D260" s="76">
        <v>1425062</v>
      </c>
      <c r="E260" s="76">
        <v>2</v>
      </c>
      <c r="F260" s="76"/>
      <c r="G260" s="75">
        <v>510</v>
      </c>
      <c r="H260" s="75">
        <v>24</v>
      </c>
      <c r="I260" s="76" t="s">
        <v>407</v>
      </c>
      <c r="J260" s="76" t="s">
        <v>294</v>
      </c>
      <c r="K260" s="76" t="b">
        <v>1</v>
      </c>
      <c r="L260" s="72">
        <v>2021</v>
      </c>
      <c r="M260" s="73">
        <v>33556802</v>
      </c>
      <c r="N260" s="77">
        <v>41222</v>
      </c>
      <c r="O260" s="77">
        <v>41275</v>
      </c>
    </row>
    <row r="261" spans="1:15" ht="14.25">
      <c r="A261" s="74">
        <v>2013</v>
      </c>
      <c r="B261" s="75" t="s">
        <v>390</v>
      </c>
      <c r="C261" s="75" t="s">
        <v>391</v>
      </c>
      <c r="D261" s="76">
        <v>1425062</v>
      </c>
      <c r="E261" s="76">
        <v>2</v>
      </c>
      <c r="F261" s="76"/>
      <c r="G261" s="75">
        <v>430</v>
      </c>
      <c r="H261" s="75" t="s">
        <v>129</v>
      </c>
      <c r="I261" s="76" t="s">
        <v>399</v>
      </c>
      <c r="J261" s="76" t="s">
        <v>74</v>
      </c>
      <c r="K261" s="76" t="b">
        <v>0</v>
      </c>
      <c r="L261" s="72">
        <v>2013</v>
      </c>
      <c r="M261" s="73">
        <v>0.1365</v>
      </c>
      <c r="N261" s="77">
        <v>41222</v>
      </c>
      <c r="O261" s="77">
        <v>41275</v>
      </c>
    </row>
    <row r="262" spans="1:15" ht="14.25">
      <c r="A262" s="74">
        <v>2013</v>
      </c>
      <c r="B262" s="75" t="s">
        <v>390</v>
      </c>
      <c r="C262" s="75" t="s">
        <v>391</v>
      </c>
      <c r="D262" s="76">
        <v>1425062</v>
      </c>
      <c r="E262" s="76">
        <v>2</v>
      </c>
      <c r="F262" s="76"/>
      <c r="G262" s="75">
        <v>10</v>
      </c>
      <c r="H262" s="75" t="s">
        <v>97</v>
      </c>
      <c r="I262" s="76"/>
      <c r="J262" s="76" t="s">
        <v>98</v>
      </c>
      <c r="K262" s="76" t="b">
        <v>0</v>
      </c>
      <c r="L262" s="72">
        <v>2020</v>
      </c>
      <c r="M262" s="73">
        <v>18041291</v>
      </c>
      <c r="N262" s="77">
        <v>41222</v>
      </c>
      <c r="O262" s="77">
        <v>41275</v>
      </c>
    </row>
    <row r="263" spans="1:15" ht="14.25">
      <c r="A263" s="74">
        <v>2013</v>
      </c>
      <c r="B263" s="75" t="s">
        <v>390</v>
      </c>
      <c r="C263" s="75" t="s">
        <v>391</v>
      </c>
      <c r="D263" s="76">
        <v>1425062</v>
      </c>
      <c r="E263" s="76">
        <v>2</v>
      </c>
      <c r="F263" s="76"/>
      <c r="G263" s="75">
        <v>470</v>
      </c>
      <c r="H263" s="75" t="s">
        <v>132</v>
      </c>
      <c r="I263" s="76" t="s">
        <v>402</v>
      </c>
      <c r="J263" s="76" t="s">
        <v>289</v>
      </c>
      <c r="K263" s="76" t="b">
        <v>0</v>
      </c>
      <c r="L263" s="72">
        <v>2016</v>
      </c>
      <c r="M263" s="73">
        <v>307</v>
      </c>
      <c r="N263" s="77">
        <v>41222</v>
      </c>
      <c r="O263" s="77">
        <v>41275</v>
      </c>
    </row>
    <row r="264" spans="1:15" ht="14.25">
      <c r="A264" s="74">
        <v>2013</v>
      </c>
      <c r="B264" s="75" t="s">
        <v>390</v>
      </c>
      <c r="C264" s="75" t="s">
        <v>391</v>
      </c>
      <c r="D264" s="76">
        <v>1425062</v>
      </c>
      <c r="E264" s="76">
        <v>2</v>
      </c>
      <c r="F264" s="76"/>
      <c r="G264" s="75">
        <v>10</v>
      </c>
      <c r="H264" s="75" t="s">
        <v>97</v>
      </c>
      <c r="I264" s="76"/>
      <c r="J264" s="76" t="s">
        <v>98</v>
      </c>
      <c r="K264" s="76" t="b">
        <v>0</v>
      </c>
      <c r="L264" s="72">
        <v>2014</v>
      </c>
      <c r="M264" s="73">
        <v>15541758</v>
      </c>
      <c r="N264" s="77">
        <v>41222</v>
      </c>
      <c r="O264" s="77">
        <v>41275</v>
      </c>
    </row>
    <row r="265" spans="1:15" ht="14.25">
      <c r="A265" s="74">
        <v>2013</v>
      </c>
      <c r="B265" s="75" t="s">
        <v>390</v>
      </c>
      <c r="C265" s="75" t="s">
        <v>391</v>
      </c>
      <c r="D265" s="76">
        <v>1425062</v>
      </c>
      <c r="E265" s="76">
        <v>2</v>
      </c>
      <c r="F265" s="76"/>
      <c r="G265" s="75">
        <v>9</v>
      </c>
      <c r="H265" s="75">
        <v>2</v>
      </c>
      <c r="I265" s="76"/>
      <c r="J265" s="76" t="s">
        <v>3</v>
      </c>
      <c r="K265" s="76" t="b">
        <v>1</v>
      </c>
      <c r="L265" s="72">
        <v>2017</v>
      </c>
      <c r="M265" s="73">
        <v>30016241</v>
      </c>
      <c r="N265" s="77">
        <v>41222</v>
      </c>
      <c r="O265" s="77">
        <v>41275</v>
      </c>
    </row>
    <row r="266" spans="1:15" ht="14.25">
      <c r="A266" s="74">
        <v>2013</v>
      </c>
      <c r="B266" s="75" t="s">
        <v>390</v>
      </c>
      <c r="C266" s="75" t="s">
        <v>391</v>
      </c>
      <c r="D266" s="76">
        <v>1425062</v>
      </c>
      <c r="E266" s="76">
        <v>2</v>
      </c>
      <c r="F266" s="76"/>
      <c r="G266" s="75">
        <v>10</v>
      </c>
      <c r="H266" s="75" t="s">
        <v>97</v>
      </c>
      <c r="I266" s="76"/>
      <c r="J266" s="76" t="s">
        <v>98</v>
      </c>
      <c r="K266" s="76" t="b">
        <v>0</v>
      </c>
      <c r="L266" s="72">
        <v>2019</v>
      </c>
      <c r="M266" s="73">
        <v>17721733</v>
      </c>
      <c r="N266" s="77">
        <v>41222</v>
      </c>
      <c r="O266" s="77">
        <v>41275</v>
      </c>
    </row>
    <row r="267" spans="1:15" ht="14.25">
      <c r="A267" s="74">
        <v>2013</v>
      </c>
      <c r="B267" s="75" t="s">
        <v>390</v>
      </c>
      <c r="C267" s="75" t="s">
        <v>391</v>
      </c>
      <c r="D267" s="76">
        <v>1425062</v>
      </c>
      <c r="E267" s="76">
        <v>2</v>
      </c>
      <c r="F267" s="76"/>
      <c r="G267" s="75">
        <v>210</v>
      </c>
      <c r="H267" s="75" t="s">
        <v>112</v>
      </c>
      <c r="I267" s="76"/>
      <c r="J267" s="76" t="s">
        <v>274</v>
      </c>
      <c r="K267" s="76" t="b">
        <v>1</v>
      </c>
      <c r="L267" s="72">
        <v>2015</v>
      </c>
      <c r="M267" s="73">
        <v>1396900</v>
      </c>
      <c r="N267" s="77">
        <v>41222</v>
      </c>
      <c r="O267" s="77">
        <v>41275</v>
      </c>
    </row>
    <row r="268" spans="1:15" ht="14.25">
      <c r="A268" s="74">
        <v>2013</v>
      </c>
      <c r="B268" s="75" t="s">
        <v>390</v>
      </c>
      <c r="C268" s="75" t="s">
        <v>391</v>
      </c>
      <c r="D268" s="76">
        <v>1425062</v>
      </c>
      <c r="E268" s="76">
        <v>2</v>
      </c>
      <c r="F268" s="76"/>
      <c r="G268" s="75">
        <v>420</v>
      </c>
      <c r="H268" s="75">
        <v>19</v>
      </c>
      <c r="I268" s="76" t="s">
        <v>396</v>
      </c>
      <c r="J268" s="76" t="s">
        <v>72</v>
      </c>
      <c r="K268" s="76" t="b">
        <v>1</v>
      </c>
      <c r="L268" s="72">
        <v>2022</v>
      </c>
      <c r="M268" s="73">
        <v>0.0476</v>
      </c>
      <c r="N268" s="77">
        <v>41222</v>
      </c>
      <c r="O268" s="77">
        <v>41275</v>
      </c>
    </row>
    <row r="269" spans="1:15" ht="14.25">
      <c r="A269" s="74">
        <v>2013</v>
      </c>
      <c r="B269" s="75" t="s">
        <v>390</v>
      </c>
      <c r="C269" s="75" t="s">
        <v>391</v>
      </c>
      <c r="D269" s="76">
        <v>1425062</v>
      </c>
      <c r="E269" s="76">
        <v>2</v>
      </c>
      <c r="F269" s="76"/>
      <c r="G269" s="75">
        <v>200</v>
      </c>
      <c r="H269" s="75">
        <v>7</v>
      </c>
      <c r="I269" s="76" t="s">
        <v>411</v>
      </c>
      <c r="J269" s="76" t="s">
        <v>11</v>
      </c>
      <c r="K269" s="76" t="b">
        <v>1</v>
      </c>
      <c r="L269" s="72">
        <v>2014</v>
      </c>
      <c r="M269" s="73">
        <v>1391000</v>
      </c>
      <c r="N269" s="77">
        <v>41222</v>
      </c>
      <c r="O269" s="77">
        <v>41275</v>
      </c>
    </row>
    <row r="270" spans="1:15" ht="14.25">
      <c r="A270" s="74">
        <v>2013</v>
      </c>
      <c r="B270" s="75" t="s">
        <v>390</v>
      </c>
      <c r="C270" s="75" t="s">
        <v>391</v>
      </c>
      <c r="D270" s="76">
        <v>1425062</v>
      </c>
      <c r="E270" s="76">
        <v>2</v>
      </c>
      <c r="F270" s="76"/>
      <c r="G270" s="75">
        <v>540</v>
      </c>
      <c r="H270" s="75">
        <v>27</v>
      </c>
      <c r="I270" s="76" t="s">
        <v>400</v>
      </c>
      <c r="J270" s="76" t="s">
        <v>45</v>
      </c>
      <c r="K270" s="76" t="b">
        <v>0</v>
      </c>
      <c r="L270" s="72">
        <v>2019</v>
      </c>
      <c r="M270" s="73">
        <v>32544570</v>
      </c>
      <c r="N270" s="77">
        <v>41222</v>
      </c>
      <c r="O270" s="77">
        <v>41275</v>
      </c>
    </row>
    <row r="271" spans="1:15" ht="14.25">
      <c r="A271" s="74">
        <v>2013</v>
      </c>
      <c r="B271" s="75" t="s">
        <v>390</v>
      </c>
      <c r="C271" s="75" t="s">
        <v>391</v>
      </c>
      <c r="D271" s="76">
        <v>1425062</v>
      </c>
      <c r="E271" s="76">
        <v>2</v>
      </c>
      <c r="F271" s="76"/>
      <c r="G271" s="75">
        <v>550</v>
      </c>
      <c r="H271" s="75">
        <v>28</v>
      </c>
      <c r="I271" s="76" t="s">
        <v>405</v>
      </c>
      <c r="J271" s="76" t="s">
        <v>47</v>
      </c>
      <c r="K271" s="76" t="b">
        <v>0</v>
      </c>
      <c r="L271" s="72">
        <v>2015</v>
      </c>
      <c r="M271" s="73">
        <v>411266</v>
      </c>
      <c r="N271" s="77">
        <v>41222</v>
      </c>
      <c r="O271" s="77">
        <v>41275</v>
      </c>
    </row>
    <row r="272" spans="1:15" ht="14.25">
      <c r="A272" s="74">
        <v>2013</v>
      </c>
      <c r="B272" s="75" t="s">
        <v>390</v>
      </c>
      <c r="C272" s="75" t="s">
        <v>391</v>
      </c>
      <c r="D272" s="76">
        <v>1425062</v>
      </c>
      <c r="E272" s="76">
        <v>2</v>
      </c>
      <c r="F272" s="76"/>
      <c r="G272" s="75">
        <v>270</v>
      </c>
      <c r="H272" s="75">
        <v>10</v>
      </c>
      <c r="I272" s="76"/>
      <c r="J272" s="76" t="s">
        <v>17</v>
      </c>
      <c r="K272" s="76" t="b">
        <v>0</v>
      </c>
      <c r="L272" s="72">
        <v>2021</v>
      </c>
      <c r="M272" s="73">
        <v>896271</v>
      </c>
      <c r="N272" s="77">
        <v>41222</v>
      </c>
      <c r="O272" s="77">
        <v>41275</v>
      </c>
    </row>
    <row r="273" spans="1:15" ht="14.25">
      <c r="A273" s="74">
        <v>2013</v>
      </c>
      <c r="B273" s="75" t="s">
        <v>390</v>
      </c>
      <c r="C273" s="75" t="s">
        <v>391</v>
      </c>
      <c r="D273" s="76">
        <v>1425062</v>
      </c>
      <c r="E273" s="76">
        <v>2</v>
      </c>
      <c r="F273" s="76"/>
      <c r="G273" s="75">
        <v>1</v>
      </c>
      <c r="H273" s="75">
        <v>1</v>
      </c>
      <c r="I273" s="76" t="s">
        <v>401</v>
      </c>
      <c r="J273" s="76" t="s">
        <v>91</v>
      </c>
      <c r="K273" s="76" t="b">
        <v>1</v>
      </c>
      <c r="L273" s="72">
        <v>2014</v>
      </c>
      <c r="M273" s="73">
        <v>31237363</v>
      </c>
      <c r="N273" s="77">
        <v>41222</v>
      </c>
      <c r="O273" s="77">
        <v>41275</v>
      </c>
    </row>
    <row r="274" spans="1:15" ht="14.25">
      <c r="A274" s="74">
        <v>2013</v>
      </c>
      <c r="B274" s="75" t="s">
        <v>390</v>
      </c>
      <c r="C274" s="75" t="s">
        <v>391</v>
      </c>
      <c r="D274" s="76">
        <v>1425062</v>
      </c>
      <c r="E274" s="76">
        <v>2</v>
      </c>
      <c r="F274" s="76"/>
      <c r="G274" s="75">
        <v>300</v>
      </c>
      <c r="H274" s="75">
        <v>11</v>
      </c>
      <c r="I274" s="76"/>
      <c r="J274" s="76" t="s">
        <v>62</v>
      </c>
      <c r="K274" s="76" t="b">
        <v>1</v>
      </c>
      <c r="L274" s="72">
        <v>2016</v>
      </c>
      <c r="M274" s="73">
        <v>1061703</v>
      </c>
      <c r="N274" s="77">
        <v>41222</v>
      </c>
      <c r="O274" s="77">
        <v>41275</v>
      </c>
    </row>
    <row r="275" spans="1:15" ht="14.25">
      <c r="A275" s="74">
        <v>2013</v>
      </c>
      <c r="B275" s="75" t="s">
        <v>390</v>
      </c>
      <c r="C275" s="75" t="s">
        <v>391</v>
      </c>
      <c r="D275" s="76">
        <v>1425062</v>
      </c>
      <c r="E275" s="76">
        <v>2</v>
      </c>
      <c r="F275" s="76"/>
      <c r="G275" s="75">
        <v>295</v>
      </c>
      <c r="H275" s="75" t="s">
        <v>257</v>
      </c>
      <c r="I275" s="76"/>
      <c r="J275" s="76" t="s">
        <v>251</v>
      </c>
      <c r="K275" s="76" t="b">
        <v>0</v>
      </c>
      <c r="L275" s="72">
        <v>2015</v>
      </c>
      <c r="M275" s="73">
        <v>490000</v>
      </c>
      <c r="N275" s="77">
        <v>41222</v>
      </c>
      <c r="O275" s="77">
        <v>41275</v>
      </c>
    </row>
    <row r="276" spans="1:15" ht="14.25">
      <c r="A276" s="74">
        <v>2013</v>
      </c>
      <c r="B276" s="75" t="s">
        <v>390</v>
      </c>
      <c r="C276" s="75" t="s">
        <v>391</v>
      </c>
      <c r="D276" s="76">
        <v>1425062</v>
      </c>
      <c r="E276" s="76">
        <v>2</v>
      </c>
      <c r="F276" s="76"/>
      <c r="G276" s="75">
        <v>451</v>
      </c>
      <c r="H276" s="75" t="s">
        <v>262</v>
      </c>
      <c r="I276" s="76" t="s">
        <v>394</v>
      </c>
      <c r="J276" s="76" t="s">
        <v>287</v>
      </c>
      <c r="K276" s="76" t="b">
        <v>0</v>
      </c>
      <c r="L276" s="72">
        <v>2017</v>
      </c>
      <c r="M276" s="73">
        <v>0.078</v>
      </c>
      <c r="N276" s="77">
        <v>41222</v>
      </c>
      <c r="O276" s="77">
        <v>41275</v>
      </c>
    </row>
    <row r="277" spans="1:15" ht="14.25">
      <c r="A277" s="74">
        <v>2013</v>
      </c>
      <c r="B277" s="75" t="s">
        <v>390</v>
      </c>
      <c r="C277" s="75" t="s">
        <v>391</v>
      </c>
      <c r="D277" s="76">
        <v>1425062</v>
      </c>
      <c r="E277" s="76">
        <v>2</v>
      </c>
      <c r="F277" s="76"/>
      <c r="G277" s="75">
        <v>430</v>
      </c>
      <c r="H277" s="75" t="s">
        <v>129</v>
      </c>
      <c r="I277" s="76" t="s">
        <v>399</v>
      </c>
      <c r="J277" s="76" t="s">
        <v>74</v>
      </c>
      <c r="K277" s="76" t="b">
        <v>0</v>
      </c>
      <c r="L277" s="72">
        <v>2017</v>
      </c>
      <c r="M277" s="73">
        <v>0.0618</v>
      </c>
      <c r="N277" s="77">
        <v>41222</v>
      </c>
      <c r="O277" s="77">
        <v>41275</v>
      </c>
    </row>
    <row r="278" spans="1:15" ht="14.25">
      <c r="A278" s="74">
        <v>2013</v>
      </c>
      <c r="B278" s="75" t="s">
        <v>390</v>
      </c>
      <c r="C278" s="75" t="s">
        <v>391</v>
      </c>
      <c r="D278" s="76">
        <v>1425062</v>
      </c>
      <c r="E278" s="76">
        <v>2</v>
      </c>
      <c r="F278" s="76"/>
      <c r="G278" s="75">
        <v>471</v>
      </c>
      <c r="H278" s="75" t="s">
        <v>263</v>
      </c>
      <c r="I278" s="76" t="s">
        <v>402</v>
      </c>
      <c r="J278" s="76" t="s">
        <v>290</v>
      </c>
      <c r="K278" s="76" t="b">
        <v>0</v>
      </c>
      <c r="L278" s="72">
        <v>2015</v>
      </c>
      <c r="M278" s="73">
        <v>249</v>
      </c>
      <c r="N278" s="77">
        <v>41222</v>
      </c>
      <c r="O278" s="77">
        <v>41275</v>
      </c>
    </row>
    <row r="279" spans="1:15" ht="14.25">
      <c r="A279" s="74">
        <v>2013</v>
      </c>
      <c r="B279" s="75" t="s">
        <v>390</v>
      </c>
      <c r="C279" s="75" t="s">
        <v>391</v>
      </c>
      <c r="D279" s="76">
        <v>1425062</v>
      </c>
      <c r="E279" s="76">
        <v>2</v>
      </c>
      <c r="F279" s="76"/>
      <c r="G279" s="75">
        <v>470</v>
      </c>
      <c r="H279" s="75" t="s">
        <v>132</v>
      </c>
      <c r="I279" s="76" t="s">
        <v>402</v>
      </c>
      <c r="J279" s="76" t="s">
        <v>289</v>
      </c>
      <c r="K279" s="76" t="b">
        <v>0</v>
      </c>
      <c r="L279" s="72">
        <v>2022</v>
      </c>
      <c r="M279" s="73">
        <v>349</v>
      </c>
      <c r="N279" s="77">
        <v>41222</v>
      </c>
      <c r="O279" s="77">
        <v>41275</v>
      </c>
    </row>
    <row r="280" spans="1:15" ht="14.25">
      <c r="A280" s="74">
        <v>2013</v>
      </c>
      <c r="B280" s="75" t="s">
        <v>390</v>
      </c>
      <c r="C280" s="75" t="s">
        <v>391</v>
      </c>
      <c r="D280" s="76">
        <v>1425062</v>
      </c>
      <c r="E280" s="76">
        <v>2</v>
      </c>
      <c r="F280" s="76"/>
      <c r="G280" s="75">
        <v>451</v>
      </c>
      <c r="H280" s="75" t="s">
        <v>262</v>
      </c>
      <c r="I280" s="76" t="s">
        <v>394</v>
      </c>
      <c r="J280" s="76" t="s">
        <v>287</v>
      </c>
      <c r="K280" s="76" t="b">
        <v>0</v>
      </c>
      <c r="L280" s="72">
        <v>2013</v>
      </c>
      <c r="M280" s="73">
        <v>0.0705</v>
      </c>
      <c r="N280" s="77">
        <v>41222</v>
      </c>
      <c r="O280" s="77">
        <v>41275</v>
      </c>
    </row>
    <row r="281" spans="1:15" ht="14.25">
      <c r="A281" s="74">
        <v>2013</v>
      </c>
      <c r="B281" s="75" t="s">
        <v>390</v>
      </c>
      <c r="C281" s="75" t="s">
        <v>391</v>
      </c>
      <c r="D281" s="76">
        <v>1425062</v>
      </c>
      <c r="E281" s="76">
        <v>2</v>
      </c>
      <c r="F281" s="76"/>
      <c r="G281" s="75">
        <v>500</v>
      </c>
      <c r="H281" s="75">
        <v>23</v>
      </c>
      <c r="I281" s="76" t="s">
        <v>414</v>
      </c>
      <c r="J281" s="76" t="s">
        <v>59</v>
      </c>
      <c r="K281" s="76" t="b">
        <v>1</v>
      </c>
      <c r="L281" s="72">
        <v>2013</v>
      </c>
      <c r="M281" s="73">
        <v>30469412</v>
      </c>
      <c r="N281" s="77">
        <v>41222</v>
      </c>
      <c r="O281" s="77">
        <v>41275</v>
      </c>
    </row>
    <row r="282" spans="1:15" ht="14.25">
      <c r="A282" s="74">
        <v>2013</v>
      </c>
      <c r="B282" s="75" t="s">
        <v>390</v>
      </c>
      <c r="C282" s="75" t="s">
        <v>391</v>
      </c>
      <c r="D282" s="76">
        <v>1425062</v>
      </c>
      <c r="E282" s="76">
        <v>2</v>
      </c>
      <c r="F282" s="76"/>
      <c r="G282" s="75">
        <v>210</v>
      </c>
      <c r="H282" s="75" t="s">
        <v>112</v>
      </c>
      <c r="I282" s="76"/>
      <c r="J282" s="76" t="s">
        <v>274</v>
      </c>
      <c r="K282" s="76" t="b">
        <v>1</v>
      </c>
      <c r="L282" s="72">
        <v>2016</v>
      </c>
      <c r="M282" s="73">
        <v>1500000</v>
      </c>
      <c r="N282" s="77">
        <v>41222</v>
      </c>
      <c r="O282" s="77">
        <v>41275</v>
      </c>
    </row>
    <row r="283" spans="1:15" ht="14.25">
      <c r="A283" s="74">
        <v>2013</v>
      </c>
      <c r="B283" s="75" t="s">
        <v>390</v>
      </c>
      <c r="C283" s="75" t="s">
        <v>391</v>
      </c>
      <c r="D283" s="76">
        <v>1425062</v>
      </c>
      <c r="E283" s="76">
        <v>2</v>
      </c>
      <c r="F283" s="76"/>
      <c r="G283" s="75">
        <v>295</v>
      </c>
      <c r="H283" s="75" t="s">
        <v>257</v>
      </c>
      <c r="I283" s="76"/>
      <c r="J283" s="76" t="s">
        <v>251</v>
      </c>
      <c r="K283" s="76" t="b">
        <v>0</v>
      </c>
      <c r="L283" s="72">
        <v>2013</v>
      </c>
      <c r="M283" s="73">
        <v>1452017</v>
      </c>
      <c r="N283" s="77">
        <v>41222</v>
      </c>
      <c r="O283" s="77">
        <v>41275</v>
      </c>
    </row>
    <row r="284" spans="1:15" ht="14.25">
      <c r="A284" s="74">
        <v>2013</v>
      </c>
      <c r="B284" s="75" t="s">
        <v>390</v>
      </c>
      <c r="C284" s="75" t="s">
        <v>391</v>
      </c>
      <c r="D284" s="76">
        <v>1425062</v>
      </c>
      <c r="E284" s="76">
        <v>2</v>
      </c>
      <c r="F284" s="76"/>
      <c r="G284" s="75">
        <v>210</v>
      </c>
      <c r="H284" s="75" t="s">
        <v>112</v>
      </c>
      <c r="I284" s="76"/>
      <c r="J284" s="76" t="s">
        <v>274</v>
      </c>
      <c r="K284" s="76" t="b">
        <v>1</v>
      </c>
      <c r="L284" s="72">
        <v>2019</v>
      </c>
      <c r="M284" s="73">
        <v>2450000</v>
      </c>
      <c r="N284" s="77">
        <v>41222</v>
      </c>
      <c r="O284" s="77">
        <v>41275</v>
      </c>
    </row>
    <row r="285" spans="1:15" ht="14.25">
      <c r="A285" s="74">
        <v>2013</v>
      </c>
      <c r="B285" s="75" t="s">
        <v>390</v>
      </c>
      <c r="C285" s="75" t="s">
        <v>391</v>
      </c>
      <c r="D285" s="76">
        <v>1425062</v>
      </c>
      <c r="E285" s="76">
        <v>2</v>
      </c>
      <c r="F285" s="76"/>
      <c r="G285" s="75">
        <v>450</v>
      </c>
      <c r="H285" s="75" t="s">
        <v>131</v>
      </c>
      <c r="I285" s="76" t="s">
        <v>394</v>
      </c>
      <c r="J285" s="76" t="s">
        <v>52</v>
      </c>
      <c r="K285" s="76" t="b">
        <v>0</v>
      </c>
      <c r="L285" s="72">
        <v>2015</v>
      </c>
      <c r="M285" s="73">
        <v>0.0859</v>
      </c>
      <c r="N285" s="77">
        <v>41222</v>
      </c>
      <c r="O285" s="77">
        <v>41275</v>
      </c>
    </row>
    <row r="286" spans="1:15" ht="14.25">
      <c r="A286" s="74">
        <v>2013</v>
      </c>
      <c r="B286" s="75" t="s">
        <v>390</v>
      </c>
      <c r="C286" s="75" t="s">
        <v>391</v>
      </c>
      <c r="D286" s="76">
        <v>1425062</v>
      </c>
      <c r="E286" s="76">
        <v>2</v>
      </c>
      <c r="F286" s="76"/>
      <c r="G286" s="75">
        <v>240</v>
      </c>
      <c r="H286" s="75" t="s">
        <v>116</v>
      </c>
      <c r="I286" s="76"/>
      <c r="J286" s="76" t="s">
        <v>276</v>
      </c>
      <c r="K286" s="76" t="b">
        <v>1</v>
      </c>
      <c r="L286" s="72">
        <v>2014</v>
      </c>
      <c r="M286" s="73">
        <v>600000</v>
      </c>
      <c r="N286" s="77">
        <v>41222</v>
      </c>
      <c r="O286" s="77">
        <v>41275</v>
      </c>
    </row>
    <row r="287" spans="1:15" ht="14.25">
      <c r="A287" s="74">
        <v>2013</v>
      </c>
      <c r="B287" s="75" t="s">
        <v>390</v>
      </c>
      <c r="C287" s="75" t="s">
        <v>391</v>
      </c>
      <c r="D287" s="76">
        <v>1425062</v>
      </c>
      <c r="E287" s="76">
        <v>2</v>
      </c>
      <c r="F287" s="76"/>
      <c r="G287" s="75">
        <v>510</v>
      </c>
      <c r="H287" s="75">
        <v>24</v>
      </c>
      <c r="I287" s="76" t="s">
        <v>407</v>
      </c>
      <c r="J287" s="76" t="s">
        <v>294</v>
      </c>
      <c r="K287" s="76" t="b">
        <v>1</v>
      </c>
      <c r="L287" s="72">
        <v>2014</v>
      </c>
      <c r="M287" s="73">
        <v>27651737</v>
      </c>
      <c r="N287" s="77">
        <v>41222</v>
      </c>
      <c r="O287" s="77">
        <v>41275</v>
      </c>
    </row>
    <row r="288" spans="1:15" ht="14.25">
      <c r="A288" s="74">
        <v>2013</v>
      </c>
      <c r="B288" s="75" t="s">
        <v>390</v>
      </c>
      <c r="C288" s="75" t="s">
        <v>391</v>
      </c>
      <c r="D288" s="76">
        <v>1425062</v>
      </c>
      <c r="E288" s="76">
        <v>2</v>
      </c>
      <c r="F288" s="76"/>
      <c r="G288" s="75">
        <v>200</v>
      </c>
      <c r="H288" s="75">
        <v>7</v>
      </c>
      <c r="I288" s="76" t="s">
        <v>411</v>
      </c>
      <c r="J288" s="76" t="s">
        <v>11</v>
      </c>
      <c r="K288" s="76" t="b">
        <v>1</v>
      </c>
      <c r="L288" s="72">
        <v>2020</v>
      </c>
      <c r="M288" s="73">
        <v>716400</v>
      </c>
      <c r="N288" s="77">
        <v>41222</v>
      </c>
      <c r="O288" s="77">
        <v>41275</v>
      </c>
    </row>
    <row r="289" spans="1:15" ht="14.25">
      <c r="A289" s="74">
        <v>2013</v>
      </c>
      <c r="B289" s="75" t="s">
        <v>390</v>
      </c>
      <c r="C289" s="75" t="s">
        <v>391</v>
      </c>
      <c r="D289" s="76">
        <v>1425062</v>
      </c>
      <c r="E289" s="76">
        <v>2</v>
      </c>
      <c r="F289" s="76"/>
      <c r="G289" s="75">
        <v>210</v>
      </c>
      <c r="H289" s="75" t="s">
        <v>112</v>
      </c>
      <c r="I289" s="76"/>
      <c r="J289" s="76" t="s">
        <v>274</v>
      </c>
      <c r="K289" s="76" t="b">
        <v>1</v>
      </c>
      <c r="L289" s="72">
        <v>2022</v>
      </c>
      <c r="M289" s="73">
        <v>1693635</v>
      </c>
      <c r="N289" s="77">
        <v>41222</v>
      </c>
      <c r="O289" s="77">
        <v>41275</v>
      </c>
    </row>
    <row r="290" spans="1:15" ht="14.25">
      <c r="A290" s="74">
        <v>2013</v>
      </c>
      <c r="B290" s="75" t="s">
        <v>390</v>
      </c>
      <c r="C290" s="75" t="s">
        <v>391</v>
      </c>
      <c r="D290" s="76">
        <v>1425062</v>
      </c>
      <c r="E290" s="76">
        <v>2</v>
      </c>
      <c r="F290" s="76"/>
      <c r="G290" s="75">
        <v>160</v>
      </c>
      <c r="H290" s="75">
        <v>3</v>
      </c>
      <c r="I290" s="76" t="s">
        <v>406</v>
      </c>
      <c r="J290" s="76" t="s">
        <v>107</v>
      </c>
      <c r="K290" s="76" t="b">
        <v>1</v>
      </c>
      <c r="L290" s="72">
        <v>2014</v>
      </c>
      <c r="M290" s="73">
        <v>4195626</v>
      </c>
      <c r="N290" s="77">
        <v>41222</v>
      </c>
      <c r="O290" s="77">
        <v>41275</v>
      </c>
    </row>
    <row r="291" spans="1:15" ht="14.25">
      <c r="A291" s="74">
        <v>2013</v>
      </c>
      <c r="B291" s="75" t="s">
        <v>390</v>
      </c>
      <c r="C291" s="75" t="s">
        <v>391</v>
      </c>
      <c r="D291" s="76">
        <v>1425062</v>
      </c>
      <c r="E291" s="76">
        <v>2</v>
      </c>
      <c r="F291" s="76"/>
      <c r="G291" s="75">
        <v>510</v>
      </c>
      <c r="H291" s="75">
        <v>24</v>
      </c>
      <c r="I291" s="76" t="s">
        <v>407</v>
      </c>
      <c r="J291" s="76" t="s">
        <v>294</v>
      </c>
      <c r="K291" s="76" t="b">
        <v>1</v>
      </c>
      <c r="L291" s="72">
        <v>2020</v>
      </c>
      <c r="M291" s="73">
        <v>33131348</v>
      </c>
      <c r="N291" s="77">
        <v>41222</v>
      </c>
      <c r="O291" s="77">
        <v>41275</v>
      </c>
    </row>
    <row r="292" spans="1:15" ht="14.25">
      <c r="A292" s="74">
        <v>2013</v>
      </c>
      <c r="B292" s="75" t="s">
        <v>390</v>
      </c>
      <c r="C292" s="75" t="s">
        <v>391</v>
      </c>
      <c r="D292" s="76">
        <v>1425062</v>
      </c>
      <c r="E292" s="76">
        <v>2</v>
      </c>
      <c r="F292" s="76"/>
      <c r="G292" s="75">
        <v>150</v>
      </c>
      <c r="H292" s="75" t="s">
        <v>106</v>
      </c>
      <c r="I292" s="76"/>
      <c r="J292" s="76" t="s">
        <v>271</v>
      </c>
      <c r="K292" s="76" t="b">
        <v>0</v>
      </c>
      <c r="L292" s="72">
        <v>2014</v>
      </c>
      <c r="M292" s="73">
        <v>200000</v>
      </c>
      <c r="N292" s="77">
        <v>41222</v>
      </c>
      <c r="O292" s="77">
        <v>41275</v>
      </c>
    </row>
    <row r="293" spans="1:15" ht="14.25">
      <c r="A293" s="74">
        <v>2013</v>
      </c>
      <c r="B293" s="75" t="s">
        <v>390</v>
      </c>
      <c r="C293" s="75" t="s">
        <v>391</v>
      </c>
      <c r="D293" s="76">
        <v>1425062</v>
      </c>
      <c r="E293" s="76">
        <v>2</v>
      </c>
      <c r="F293" s="76"/>
      <c r="G293" s="75">
        <v>10</v>
      </c>
      <c r="H293" s="75" t="s">
        <v>97</v>
      </c>
      <c r="I293" s="76"/>
      <c r="J293" s="76" t="s">
        <v>98</v>
      </c>
      <c r="K293" s="76" t="b">
        <v>0</v>
      </c>
      <c r="L293" s="72">
        <v>2015</v>
      </c>
      <c r="M293" s="73">
        <v>15961385</v>
      </c>
      <c r="N293" s="77">
        <v>41222</v>
      </c>
      <c r="O293" s="77">
        <v>41275</v>
      </c>
    </row>
    <row r="294" spans="1:15" ht="14.25">
      <c r="A294" s="74">
        <v>2013</v>
      </c>
      <c r="B294" s="75" t="s">
        <v>390</v>
      </c>
      <c r="C294" s="75" t="s">
        <v>391</v>
      </c>
      <c r="D294" s="76">
        <v>1425062</v>
      </c>
      <c r="E294" s="76">
        <v>2</v>
      </c>
      <c r="F294" s="76"/>
      <c r="G294" s="75">
        <v>190</v>
      </c>
      <c r="H294" s="75">
        <v>6</v>
      </c>
      <c r="I294" s="76" t="s">
        <v>409</v>
      </c>
      <c r="J294" s="76" t="s">
        <v>111</v>
      </c>
      <c r="K294" s="76" t="b">
        <v>0</v>
      </c>
      <c r="L294" s="72">
        <v>2021</v>
      </c>
      <c r="M294" s="73">
        <v>3592847</v>
      </c>
      <c r="N294" s="77">
        <v>41222</v>
      </c>
      <c r="O294" s="77">
        <v>41275</v>
      </c>
    </row>
    <row r="295" spans="1:15" ht="14.25">
      <c r="A295" s="74">
        <v>2013</v>
      </c>
      <c r="B295" s="75" t="s">
        <v>390</v>
      </c>
      <c r="C295" s="75" t="s">
        <v>391</v>
      </c>
      <c r="D295" s="76">
        <v>1425062</v>
      </c>
      <c r="E295" s="76">
        <v>2</v>
      </c>
      <c r="F295" s="76"/>
      <c r="G295" s="75">
        <v>440</v>
      </c>
      <c r="H295" s="75">
        <v>20</v>
      </c>
      <c r="I295" s="76" t="s">
        <v>403</v>
      </c>
      <c r="J295" s="76" t="s">
        <v>130</v>
      </c>
      <c r="K295" s="76" t="b">
        <v>1</v>
      </c>
      <c r="L295" s="72">
        <v>2018</v>
      </c>
      <c r="M295" s="73">
        <v>0.0784</v>
      </c>
      <c r="N295" s="77">
        <v>41222</v>
      </c>
      <c r="O295" s="77">
        <v>41275</v>
      </c>
    </row>
    <row r="296" spans="1:15" ht="14.25">
      <c r="A296" s="74">
        <v>2013</v>
      </c>
      <c r="B296" s="75" t="s">
        <v>390</v>
      </c>
      <c r="C296" s="75" t="s">
        <v>391</v>
      </c>
      <c r="D296" s="76">
        <v>1425062</v>
      </c>
      <c r="E296" s="76">
        <v>2</v>
      </c>
      <c r="F296" s="76"/>
      <c r="G296" s="75">
        <v>530</v>
      </c>
      <c r="H296" s="75">
        <v>26</v>
      </c>
      <c r="I296" s="76" t="s">
        <v>395</v>
      </c>
      <c r="J296" s="76" t="s">
        <v>58</v>
      </c>
      <c r="K296" s="76" t="b">
        <v>1</v>
      </c>
      <c r="L296" s="72">
        <v>2019</v>
      </c>
      <c r="M296" s="73">
        <v>34994570</v>
      </c>
      <c r="N296" s="77">
        <v>41222</v>
      </c>
      <c r="O296" s="77">
        <v>41275</v>
      </c>
    </row>
    <row r="297" spans="1:15" ht="14.25">
      <c r="A297" s="74">
        <v>2013</v>
      </c>
      <c r="B297" s="75" t="s">
        <v>390</v>
      </c>
      <c r="C297" s="75" t="s">
        <v>391</v>
      </c>
      <c r="D297" s="76">
        <v>1425062</v>
      </c>
      <c r="E297" s="76">
        <v>2</v>
      </c>
      <c r="F297" s="76"/>
      <c r="G297" s="75">
        <v>550</v>
      </c>
      <c r="H297" s="75">
        <v>28</v>
      </c>
      <c r="I297" s="76" t="s">
        <v>405</v>
      </c>
      <c r="J297" s="76" t="s">
        <v>47</v>
      </c>
      <c r="K297" s="76" t="b">
        <v>0</v>
      </c>
      <c r="L297" s="72">
        <v>2017</v>
      </c>
      <c r="M297" s="73">
        <v>1694000</v>
      </c>
      <c r="N297" s="77">
        <v>41222</v>
      </c>
      <c r="O297" s="77">
        <v>41275</v>
      </c>
    </row>
    <row r="298" spans="1:15" ht="14.25">
      <c r="A298" s="74">
        <v>2013</v>
      </c>
      <c r="B298" s="75" t="s">
        <v>390</v>
      </c>
      <c r="C298" s="75" t="s">
        <v>391</v>
      </c>
      <c r="D298" s="76">
        <v>1425062</v>
      </c>
      <c r="E298" s="76">
        <v>2</v>
      </c>
      <c r="F298" s="76"/>
      <c r="G298" s="75">
        <v>400</v>
      </c>
      <c r="H298" s="75">
        <v>18</v>
      </c>
      <c r="I298" s="76" t="s">
        <v>410</v>
      </c>
      <c r="J298" s="76" t="s">
        <v>69</v>
      </c>
      <c r="K298" s="76" t="b">
        <v>0</v>
      </c>
      <c r="L298" s="72">
        <v>2017</v>
      </c>
      <c r="M298" s="73">
        <v>0.2771</v>
      </c>
      <c r="N298" s="77">
        <v>41222</v>
      </c>
      <c r="O298" s="77">
        <v>41275</v>
      </c>
    </row>
    <row r="299" spans="1:15" ht="14.25">
      <c r="A299" s="74">
        <v>2013</v>
      </c>
      <c r="B299" s="75" t="s">
        <v>390</v>
      </c>
      <c r="C299" s="75" t="s">
        <v>391</v>
      </c>
      <c r="D299" s="76">
        <v>1425062</v>
      </c>
      <c r="E299" s="76">
        <v>2</v>
      </c>
      <c r="F299" s="76"/>
      <c r="G299" s="75">
        <v>190</v>
      </c>
      <c r="H299" s="75">
        <v>6</v>
      </c>
      <c r="I299" s="76" t="s">
        <v>409</v>
      </c>
      <c r="J299" s="76" t="s">
        <v>111</v>
      </c>
      <c r="K299" s="76" t="b">
        <v>0</v>
      </c>
      <c r="L299" s="72">
        <v>2016</v>
      </c>
      <c r="M299" s="73">
        <v>5041227</v>
      </c>
      <c r="N299" s="77">
        <v>41222</v>
      </c>
      <c r="O299" s="77">
        <v>41275</v>
      </c>
    </row>
    <row r="300" spans="1:15" ht="14.25">
      <c r="A300" s="74">
        <v>2013</v>
      </c>
      <c r="B300" s="75" t="s">
        <v>390</v>
      </c>
      <c r="C300" s="75" t="s">
        <v>391</v>
      </c>
      <c r="D300" s="76">
        <v>1425062</v>
      </c>
      <c r="E300" s="76">
        <v>2</v>
      </c>
      <c r="F300" s="76"/>
      <c r="G300" s="75">
        <v>370</v>
      </c>
      <c r="H300" s="75">
        <v>16</v>
      </c>
      <c r="I300" s="76"/>
      <c r="J300" s="76" t="s">
        <v>126</v>
      </c>
      <c r="K300" s="76" t="b">
        <v>1</v>
      </c>
      <c r="L300" s="72">
        <v>2018</v>
      </c>
      <c r="M300" s="73">
        <v>1950000</v>
      </c>
      <c r="N300" s="77">
        <v>41222</v>
      </c>
      <c r="O300" s="77">
        <v>41275</v>
      </c>
    </row>
    <row r="301" spans="1:15" ht="14.25">
      <c r="A301" s="74">
        <v>2013</v>
      </c>
      <c r="B301" s="75" t="s">
        <v>390</v>
      </c>
      <c r="C301" s="75" t="s">
        <v>391</v>
      </c>
      <c r="D301" s="76">
        <v>1425062</v>
      </c>
      <c r="E301" s="76">
        <v>2</v>
      </c>
      <c r="F301" s="76"/>
      <c r="G301" s="75">
        <v>260</v>
      </c>
      <c r="H301" s="75">
        <v>9</v>
      </c>
      <c r="I301" s="76" t="s">
        <v>398</v>
      </c>
      <c r="J301" s="76" t="s">
        <v>118</v>
      </c>
      <c r="K301" s="76" t="b">
        <v>0</v>
      </c>
      <c r="L301" s="72">
        <v>2019</v>
      </c>
      <c r="M301" s="73">
        <v>842279</v>
      </c>
      <c r="N301" s="77">
        <v>41222</v>
      </c>
      <c r="O301" s="77">
        <v>41275</v>
      </c>
    </row>
    <row r="302" spans="1:15" ht="14.25">
      <c r="A302" s="74">
        <v>2013</v>
      </c>
      <c r="B302" s="75" t="s">
        <v>390</v>
      </c>
      <c r="C302" s="75" t="s">
        <v>391</v>
      </c>
      <c r="D302" s="76">
        <v>1425062</v>
      </c>
      <c r="E302" s="76">
        <v>2</v>
      </c>
      <c r="F302" s="76"/>
      <c r="G302" s="75">
        <v>330</v>
      </c>
      <c r="H302" s="75">
        <v>13</v>
      </c>
      <c r="I302" s="76"/>
      <c r="J302" s="76" t="s">
        <v>277</v>
      </c>
      <c r="K302" s="76" t="b">
        <v>1</v>
      </c>
      <c r="L302" s="72">
        <v>2014</v>
      </c>
      <c r="M302" s="73">
        <v>11703774</v>
      </c>
      <c r="N302" s="77">
        <v>41222</v>
      </c>
      <c r="O302" s="77">
        <v>41275</v>
      </c>
    </row>
    <row r="303" spans="1:15" ht="14.25">
      <c r="A303" s="74">
        <v>2013</v>
      </c>
      <c r="B303" s="75" t="s">
        <v>390</v>
      </c>
      <c r="C303" s="75" t="s">
        <v>391</v>
      </c>
      <c r="D303" s="76">
        <v>1425062</v>
      </c>
      <c r="E303" s="76">
        <v>2</v>
      </c>
      <c r="F303" s="76"/>
      <c r="G303" s="75">
        <v>530</v>
      </c>
      <c r="H303" s="75">
        <v>26</v>
      </c>
      <c r="I303" s="76" t="s">
        <v>395</v>
      </c>
      <c r="J303" s="76" t="s">
        <v>58</v>
      </c>
      <c r="K303" s="76" t="b">
        <v>1</v>
      </c>
      <c r="L303" s="72">
        <v>2020</v>
      </c>
      <c r="M303" s="73">
        <v>35241407</v>
      </c>
      <c r="N303" s="77">
        <v>41222</v>
      </c>
      <c r="O303" s="77">
        <v>41275</v>
      </c>
    </row>
    <row r="304" spans="1:15" ht="14.25">
      <c r="A304" s="74">
        <v>2013</v>
      </c>
      <c r="B304" s="75" t="s">
        <v>390</v>
      </c>
      <c r="C304" s="75" t="s">
        <v>391</v>
      </c>
      <c r="D304" s="76">
        <v>1425062</v>
      </c>
      <c r="E304" s="76">
        <v>2</v>
      </c>
      <c r="F304" s="76"/>
      <c r="G304" s="75">
        <v>7</v>
      </c>
      <c r="H304" s="75" t="s">
        <v>246</v>
      </c>
      <c r="I304" s="76"/>
      <c r="J304" s="76" t="s">
        <v>247</v>
      </c>
      <c r="K304" s="76" t="b">
        <v>1</v>
      </c>
      <c r="L304" s="72">
        <v>2013</v>
      </c>
      <c r="M304" s="73">
        <v>1452017</v>
      </c>
      <c r="N304" s="77">
        <v>41222</v>
      </c>
      <c r="O304" s="77">
        <v>41275</v>
      </c>
    </row>
    <row r="305" spans="1:15" ht="14.25">
      <c r="A305" s="74">
        <v>2013</v>
      </c>
      <c r="B305" s="75" t="s">
        <v>390</v>
      </c>
      <c r="C305" s="75" t="s">
        <v>391</v>
      </c>
      <c r="D305" s="76">
        <v>1425062</v>
      </c>
      <c r="E305" s="76">
        <v>2</v>
      </c>
      <c r="F305" s="76"/>
      <c r="G305" s="75">
        <v>530</v>
      </c>
      <c r="H305" s="75">
        <v>26</v>
      </c>
      <c r="I305" s="76" t="s">
        <v>395</v>
      </c>
      <c r="J305" s="76" t="s">
        <v>58</v>
      </c>
      <c r="K305" s="76" t="b">
        <v>1</v>
      </c>
      <c r="L305" s="72">
        <v>2014</v>
      </c>
      <c r="M305" s="73">
        <v>31237363</v>
      </c>
      <c r="N305" s="77">
        <v>41222</v>
      </c>
      <c r="O305" s="77">
        <v>41275</v>
      </c>
    </row>
    <row r="306" spans="1:15" ht="14.25">
      <c r="A306" s="74">
        <v>2013</v>
      </c>
      <c r="B306" s="75" t="s">
        <v>390</v>
      </c>
      <c r="C306" s="75" t="s">
        <v>391</v>
      </c>
      <c r="D306" s="76">
        <v>1425062</v>
      </c>
      <c r="E306" s="76">
        <v>2</v>
      </c>
      <c r="F306" s="76"/>
      <c r="G306" s="75">
        <v>460</v>
      </c>
      <c r="H306" s="75">
        <v>21</v>
      </c>
      <c r="I306" s="76" t="s">
        <v>392</v>
      </c>
      <c r="J306" s="76" t="s">
        <v>288</v>
      </c>
      <c r="K306" s="76" t="b">
        <v>1</v>
      </c>
      <c r="L306" s="72">
        <v>2017</v>
      </c>
      <c r="M306" s="73">
        <v>0.0618</v>
      </c>
      <c r="N306" s="77">
        <v>41222</v>
      </c>
      <c r="O306" s="77">
        <v>41275</v>
      </c>
    </row>
    <row r="307" spans="1:15" ht="14.25">
      <c r="A307" s="74">
        <v>2013</v>
      </c>
      <c r="B307" s="75" t="s">
        <v>390</v>
      </c>
      <c r="C307" s="75" t="s">
        <v>391</v>
      </c>
      <c r="D307" s="76">
        <v>1425062</v>
      </c>
      <c r="E307" s="76">
        <v>2</v>
      </c>
      <c r="F307" s="76"/>
      <c r="G307" s="75">
        <v>230</v>
      </c>
      <c r="H307" s="75" t="s">
        <v>115</v>
      </c>
      <c r="I307" s="76"/>
      <c r="J307" s="76" t="s">
        <v>275</v>
      </c>
      <c r="K307" s="76" t="b">
        <v>1</v>
      </c>
      <c r="L307" s="72">
        <v>2016</v>
      </c>
      <c r="M307" s="73">
        <v>500000</v>
      </c>
      <c r="N307" s="77">
        <v>41222</v>
      </c>
      <c r="O307" s="77">
        <v>41275</v>
      </c>
    </row>
    <row r="308" spans="1:15" ht="14.25">
      <c r="A308" s="74">
        <v>2013</v>
      </c>
      <c r="B308" s="75" t="s">
        <v>390</v>
      </c>
      <c r="C308" s="75" t="s">
        <v>391</v>
      </c>
      <c r="D308" s="76">
        <v>1425062</v>
      </c>
      <c r="E308" s="76">
        <v>2</v>
      </c>
      <c r="F308" s="76"/>
      <c r="G308" s="75">
        <v>451</v>
      </c>
      <c r="H308" s="75" t="s">
        <v>262</v>
      </c>
      <c r="I308" s="76" t="s">
        <v>394</v>
      </c>
      <c r="J308" s="76" t="s">
        <v>287</v>
      </c>
      <c r="K308" s="76" t="b">
        <v>0</v>
      </c>
      <c r="L308" s="72">
        <v>2021</v>
      </c>
      <c r="M308" s="73">
        <v>0.0775</v>
      </c>
      <c r="N308" s="77">
        <v>41222</v>
      </c>
      <c r="O308" s="77">
        <v>41275</v>
      </c>
    </row>
    <row r="309" spans="1:15" ht="14.25">
      <c r="A309" s="74">
        <v>2013</v>
      </c>
      <c r="B309" s="75" t="s">
        <v>390</v>
      </c>
      <c r="C309" s="75" t="s">
        <v>391</v>
      </c>
      <c r="D309" s="76">
        <v>1425062</v>
      </c>
      <c r="E309" s="76">
        <v>2</v>
      </c>
      <c r="F309" s="76"/>
      <c r="G309" s="75">
        <v>450</v>
      </c>
      <c r="H309" s="75" t="s">
        <v>131</v>
      </c>
      <c r="I309" s="76" t="s">
        <v>394</v>
      </c>
      <c r="J309" s="76" t="s">
        <v>52</v>
      </c>
      <c r="K309" s="76" t="b">
        <v>0</v>
      </c>
      <c r="L309" s="72">
        <v>2014</v>
      </c>
      <c r="M309" s="73">
        <v>0.0719</v>
      </c>
      <c r="N309" s="77">
        <v>41222</v>
      </c>
      <c r="O309" s="77">
        <v>41275</v>
      </c>
    </row>
    <row r="310" spans="1:15" ht="14.25">
      <c r="A310" s="74">
        <v>2013</v>
      </c>
      <c r="B310" s="75" t="s">
        <v>390</v>
      </c>
      <c r="C310" s="75" t="s">
        <v>391</v>
      </c>
      <c r="D310" s="76">
        <v>1425062</v>
      </c>
      <c r="E310" s="76">
        <v>2</v>
      </c>
      <c r="F310" s="76"/>
      <c r="G310" s="75">
        <v>410</v>
      </c>
      <c r="H310" s="75" t="s">
        <v>128</v>
      </c>
      <c r="I310" s="76" t="s">
        <v>413</v>
      </c>
      <c r="J310" s="76" t="s">
        <v>71</v>
      </c>
      <c r="K310" s="76" t="b">
        <v>0</v>
      </c>
      <c r="L310" s="72">
        <v>2019</v>
      </c>
      <c r="M310" s="73">
        <v>0.136</v>
      </c>
      <c r="N310" s="77">
        <v>41222</v>
      </c>
      <c r="O310" s="77">
        <v>41275</v>
      </c>
    </row>
    <row r="311" spans="1:15" ht="14.25">
      <c r="A311" s="74">
        <v>2013</v>
      </c>
      <c r="B311" s="75" t="s">
        <v>390</v>
      </c>
      <c r="C311" s="75" t="s">
        <v>391</v>
      </c>
      <c r="D311" s="76">
        <v>1425062</v>
      </c>
      <c r="E311" s="76">
        <v>2</v>
      </c>
      <c r="F311" s="76"/>
      <c r="G311" s="75">
        <v>160</v>
      </c>
      <c r="H311" s="75">
        <v>3</v>
      </c>
      <c r="I311" s="76" t="s">
        <v>406</v>
      </c>
      <c r="J311" s="76" t="s">
        <v>107</v>
      </c>
      <c r="K311" s="76" t="b">
        <v>1</v>
      </c>
      <c r="L311" s="72">
        <v>2017</v>
      </c>
      <c r="M311" s="73">
        <v>3044000</v>
      </c>
      <c r="N311" s="77">
        <v>41222</v>
      </c>
      <c r="O311" s="77">
        <v>41275</v>
      </c>
    </row>
    <row r="312" spans="1:15" ht="14.25">
      <c r="A312" s="74">
        <v>2013</v>
      </c>
      <c r="B312" s="75" t="s">
        <v>390</v>
      </c>
      <c r="C312" s="75" t="s">
        <v>391</v>
      </c>
      <c r="D312" s="76">
        <v>1425062</v>
      </c>
      <c r="E312" s="76">
        <v>2</v>
      </c>
      <c r="F312" s="76"/>
      <c r="G312" s="75">
        <v>1</v>
      </c>
      <c r="H312" s="75">
        <v>1</v>
      </c>
      <c r="I312" s="76" t="s">
        <v>401</v>
      </c>
      <c r="J312" s="76" t="s">
        <v>91</v>
      </c>
      <c r="K312" s="76" t="b">
        <v>1</v>
      </c>
      <c r="L312" s="72">
        <v>2015</v>
      </c>
      <c r="M312" s="73">
        <v>31567274</v>
      </c>
      <c r="N312" s="77">
        <v>41222</v>
      </c>
      <c r="O312" s="77">
        <v>41275</v>
      </c>
    </row>
    <row r="313" spans="1:15" ht="14.25">
      <c r="A313" s="74">
        <v>2013</v>
      </c>
      <c r="B313" s="75" t="s">
        <v>390</v>
      </c>
      <c r="C313" s="75" t="s">
        <v>391</v>
      </c>
      <c r="D313" s="76">
        <v>1425062</v>
      </c>
      <c r="E313" s="76">
        <v>2</v>
      </c>
      <c r="F313" s="76"/>
      <c r="G313" s="75">
        <v>410</v>
      </c>
      <c r="H313" s="75" t="s">
        <v>128</v>
      </c>
      <c r="I313" s="76" t="s">
        <v>413</v>
      </c>
      <c r="J313" s="76" t="s">
        <v>71</v>
      </c>
      <c r="K313" s="76" t="b">
        <v>0</v>
      </c>
      <c r="L313" s="72">
        <v>2016</v>
      </c>
      <c r="M313" s="73">
        <v>0.3188</v>
      </c>
      <c r="N313" s="77">
        <v>41222</v>
      </c>
      <c r="O313" s="77">
        <v>41275</v>
      </c>
    </row>
    <row r="314" spans="1:15" ht="14.25">
      <c r="A314" s="74">
        <v>2013</v>
      </c>
      <c r="B314" s="75" t="s">
        <v>390</v>
      </c>
      <c r="C314" s="75" t="s">
        <v>391</v>
      </c>
      <c r="D314" s="76">
        <v>1425062</v>
      </c>
      <c r="E314" s="76">
        <v>2</v>
      </c>
      <c r="F314" s="76"/>
      <c r="G314" s="75">
        <v>510</v>
      </c>
      <c r="H314" s="75">
        <v>24</v>
      </c>
      <c r="I314" s="76" t="s">
        <v>407</v>
      </c>
      <c r="J314" s="76" t="s">
        <v>294</v>
      </c>
      <c r="K314" s="76" t="b">
        <v>1</v>
      </c>
      <c r="L314" s="72">
        <v>2017</v>
      </c>
      <c r="M314" s="73">
        <v>30366241</v>
      </c>
      <c r="N314" s="77">
        <v>41222</v>
      </c>
      <c r="O314" s="77">
        <v>41275</v>
      </c>
    </row>
    <row r="315" spans="1:15" ht="14.25">
      <c r="A315" s="74">
        <v>2013</v>
      </c>
      <c r="B315" s="75" t="s">
        <v>390</v>
      </c>
      <c r="C315" s="75" t="s">
        <v>391</v>
      </c>
      <c r="D315" s="76">
        <v>1425062</v>
      </c>
      <c r="E315" s="76">
        <v>2</v>
      </c>
      <c r="F315" s="76"/>
      <c r="G315" s="75">
        <v>410</v>
      </c>
      <c r="H315" s="75" t="s">
        <v>128</v>
      </c>
      <c r="I315" s="76" t="s">
        <v>413</v>
      </c>
      <c r="J315" s="76" t="s">
        <v>71</v>
      </c>
      <c r="K315" s="76" t="b">
        <v>0</v>
      </c>
      <c r="L315" s="72">
        <v>2014</v>
      </c>
      <c r="M315" s="73">
        <v>0.3747</v>
      </c>
      <c r="N315" s="77">
        <v>41222</v>
      </c>
      <c r="O315" s="77">
        <v>41275</v>
      </c>
    </row>
    <row r="316" spans="1:15" ht="14.25">
      <c r="A316" s="74">
        <v>2013</v>
      </c>
      <c r="B316" s="75" t="s">
        <v>390</v>
      </c>
      <c r="C316" s="75" t="s">
        <v>391</v>
      </c>
      <c r="D316" s="76">
        <v>1425062</v>
      </c>
      <c r="E316" s="76">
        <v>2</v>
      </c>
      <c r="F316" s="76"/>
      <c r="G316" s="75">
        <v>530</v>
      </c>
      <c r="H316" s="75">
        <v>26</v>
      </c>
      <c r="I316" s="76" t="s">
        <v>395</v>
      </c>
      <c r="J316" s="76" t="s">
        <v>58</v>
      </c>
      <c r="K316" s="76" t="b">
        <v>1</v>
      </c>
      <c r="L316" s="72">
        <v>2021</v>
      </c>
      <c r="M316" s="73">
        <v>37019649</v>
      </c>
      <c r="N316" s="77">
        <v>41222</v>
      </c>
      <c r="O316" s="77">
        <v>41275</v>
      </c>
    </row>
    <row r="317" spans="1:15" ht="14.25">
      <c r="A317" s="74">
        <v>2013</v>
      </c>
      <c r="B317" s="75" t="s">
        <v>390</v>
      </c>
      <c r="C317" s="75" t="s">
        <v>391</v>
      </c>
      <c r="D317" s="76">
        <v>1425062</v>
      </c>
      <c r="E317" s="76">
        <v>2</v>
      </c>
      <c r="F317" s="76"/>
      <c r="G317" s="75">
        <v>570</v>
      </c>
      <c r="H317" s="75">
        <v>30</v>
      </c>
      <c r="I317" s="76" t="s">
        <v>404</v>
      </c>
      <c r="J317" s="76" t="s">
        <v>295</v>
      </c>
      <c r="K317" s="76" t="b">
        <v>0</v>
      </c>
      <c r="L317" s="72">
        <v>2016</v>
      </c>
      <c r="M317" s="73">
        <v>1500000</v>
      </c>
      <c r="N317" s="77">
        <v>41222</v>
      </c>
      <c r="O317" s="77">
        <v>41275</v>
      </c>
    </row>
    <row r="318" spans="1:15" ht="14.25">
      <c r="A318" s="74">
        <v>2013</v>
      </c>
      <c r="B318" s="75" t="s">
        <v>390</v>
      </c>
      <c r="C318" s="75" t="s">
        <v>391</v>
      </c>
      <c r="D318" s="76">
        <v>1425062</v>
      </c>
      <c r="E318" s="76">
        <v>2</v>
      </c>
      <c r="F318" s="76"/>
      <c r="G318" s="75">
        <v>550</v>
      </c>
      <c r="H318" s="75">
        <v>28</v>
      </c>
      <c r="I318" s="76" t="s">
        <v>405</v>
      </c>
      <c r="J318" s="76" t="s">
        <v>47</v>
      </c>
      <c r="K318" s="76" t="b">
        <v>0</v>
      </c>
      <c r="L318" s="72">
        <v>2014</v>
      </c>
      <c r="M318" s="73">
        <v>374626</v>
      </c>
      <c r="N318" s="77">
        <v>41222</v>
      </c>
      <c r="O318" s="77">
        <v>41275</v>
      </c>
    </row>
    <row r="319" spans="1:15" ht="14.25">
      <c r="A319" s="74">
        <v>2013</v>
      </c>
      <c r="B319" s="75" t="s">
        <v>390</v>
      </c>
      <c r="C319" s="75" t="s">
        <v>391</v>
      </c>
      <c r="D319" s="76">
        <v>1425062</v>
      </c>
      <c r="E319" s="76">
        <v>2</v>
      </c>
      <c r="F319" s="76"/>
      <c r="G319" s="75">
        <v>160</v>
      </c>
      <c r="H319" s="75">
        <v>3</v>
      </c>
      <c r="I319" s="76" t="s">
        <v>406</v>
      </c>
      <c r="J319" s="76" t="s">
        <v>107</v>
      </c>
      <c r="K319" s="76" t="b">
        <v>1</v>
      </c>
      <c r="L319" s="72">
        <v>2018</v>
      </c>
      <c r="M319" s="73">
        <v>2906476</v>
      </c>
      <c r="N319" s="77">
        <v>41222</v>
      </c>
      <c r="O319" s="77">
        <v>41275</v>
      </c>
    </row>
    <row r="320" spans="1:15" ht="14.25">
      <c r="A320" s="74">
        <v>2013</v>
      </c>
      <c r="B320" s="75" t="s">
        <v>390</v>
      </c>
      <c r="C320" s="75" t="s">
        <v>391</v>
      </c>
      <c r="D320" s="76">
        <v>1425062</v>
      </c>
      <c r="E320" s="76">
        <v>2</v>
      </c>
      <c r="F320" s="76"/>
      <c r="G320" s="75">
        <v>11</v>
      </c>
      <c r="H320" s="75" t="s">
        <v>99</v>
      </c>
      <c r="I320" s="76"/>
      <c r="J320" s="76" t="s">
        <v>100</v>
      </c>
      <c r="K320" s="76" t="b">
        <v>0</v>
      </c>
      <c r="L320" s="72">
        <v>2013</v>
      </c>
      <c r="M320" s="73">
        <v>3053449</v>
      </c>
      <c r="N320" s="77">
        <v>41222</v>
      </c>
      <c r="O320" s="77">
        <v>41275</v>
      </c>
    </row>
    <row r="321" spans="1:15" ht="14.25">
      <c r="A321" s="74">
        <v>2013</v>
      </c>
      <c r="B321" s="75" t="s">
        <v>390</v>
      </c>
      <c r="C321" s="75" t="s">
        <v>391</v>
      </c>
      <c r="D321" s="76">
        <v>1425062</v>
      </c>
      <c r="E321" s="76">
        <v>2</v>
      </c>
      <c r="F321" s="76"/>
      <c r="G321" s="75">
        <v>9</v>
      </c>
      <c r="H321" s="75">
        <v>2</v>
      </c>
      <c r="I321" s="76"/>
      <c r="J321" s="76" t="s">
        <v>3</v>
      </c>
      <c r="K321" s="76" t="b">
        <v>1</v>
      </c>
      <c r="L321" s="72">
        <v>2018</v>
      </c>
      <c r="M321" s="73">
        <v>30971747</v>
      </c>
      <c r="N321" s="77">
        <v>41222</v>
      </c>
      <c r="O321" s="77">
        <v>41275</v>
      </c>
    </row>
    <row r="322" spans="1:15" ht="14.25">
      <c r="A322" s="74">
        <v>2013</v>
      </c>
      <c r="B322" s="75" t="s">
        <v>390</v>
      </c>
      <c r="C322" s="75" t="s">
        <v>391</v>
      </c>
      <c r="D322" s="76">
        <v>1425062</v>
      </c>
      <c r="E322" s="76">
        <v>2</v>
      </c>
      <c r="F322" s="76"/>
      <c r="G322" s="75">
        <v>451</v>
      </c>
      <c r="H322" s="75" t="s">
        <v>262</v>
      </c>
      <c r="I322" s="76" t="s">
        <v>394</v>
      </c>
      <c r="J322" s="76" t="s">
        <v>287</v>
      </c>
      <c r="K322" s="76" t="b">
        <v>0</v>
      </c>
      <c r="L322" s="72">
        <v>2014</v>
      </c>
      <c r="M322" s="73">
        <v>0.0719</v>
      </c>
      <c r="N322" s="77">
        <v>41222</v>
      </c>
      <c r="O322" s="77">
        <v>41275</v>
      </c>
    </row>
    <row r="323" spans="1:15" ht="14.25">
      <c r="A323" s="74">
        <v>2013</v>
      </c>
      <c r="B323" s="75" t="s">
        <v>390</v>
      </c>
      <c r="C323" s="75" t="s">
        <v>391</v>
      </c>
      <c r="D323" s="76">
        <v>1425062</v>
      </c>
      <c r="E323" s="76">
        <v>2</v>
      </c>
      <c r="F323" s="76"/>
      <c r="G323" s="75">
        <v>15</v>
      </c>
      <c r="H323" s="75" t="s">
        <v>104</v>
      </c>
      <c r="I323" s="76"/>
      <c r="J323" s="76" t="s">
        <v>105</v>
      </c>
      <c r="K323" s="76" t="b">
        <v>0</v>
      </c>
      <c r="L323" s="72">
        <v>2015</v>
      </c>
      <c r="M323" s="73">
        <v>1110000</v>
      </c>
      <c r="N323" s="77">
        <v>41222</v>
      </c>
      <c r="O323" s="77">
        <v>41275</v>
      </c>
    </row>
    <row r="324" spans="1:15" ht="14.25">
      <c r="A324" s="74">
        <v>2013</v>
      </c>
      <c r="B324" s="75" t="s">
        <v>390</v>
      </c>
      <c r="C324" s="75" t="s">
        <v>391</v>
      </c>
      <c r="D324" s="76">
        <v>1425062</v>
      </c>
      <c r="E324" s="76">
        <v>2</v>
      </c>
      <c r="F324" s="76"/>
      <c r="G324" s="75">
        <v>520</v>
      </c>
      <c r="H324" s="75">
        <v>25</v>
      </c>
      <c r="I324" s="76" t="s">
        <v>393</v>
      </c>
      <c r="J324" s="76" t="s">
        <v>48</v>
      </c>
      <c r="K324" s="76" t="b">
        <v>1</v>
      </c>
      <c r="L324" s="72">
        <v>2020</v>
      </c>
      <c r="M324" s="73">
        <v>2110059</v>
      </c>
      <c r="N324" s="77">
        <v>41222</v>
      </c>
      <c r="O324" s="77">
        <v>41275</v>
      </c>
    </row>
    <row r="325" spans="1:15" ht="14.25">
      <c r="A325" s="74">
        <v>2013</v>
      </c>
      <c r="B325" s="75" t="s">
        <v>390</v>
      </c>
      <c r="C325" s="75" t="s">
        <v>391</v>
      </c>
      <c r="D325" s="76">
        <v>1425062</v>
      </c>
      <c r="E325" s="76">
        <v>2</v>
      </c>
      <c r="F325" s="76"/>
      <c r="G325" s="75">
        <v>2</v>
      </c>
      <c r="H325" s="75" t="s">
        <v>92</v>
      </c>
      <c r="I325" s="76"/>
      <c r="J325" s="76" t="s">
        <v>266</v>
      </c>
      <c r="K325" s="76" t="b">
        <v>1</v>
      </c>
      <c r="L325" s="72">
        <v>2013</v>
      </c>
      <c r="M325" s="73">
        <v>30469412</v>
      </c>
      <c r="N325" s="77">
        <v>41222</v>
      </c>
      <c r="O325" s="77">
        <v>41275</v>
      </c>
    </row>
    <row r="326" spans="1:15" ht="14.25">
      <c r="A326" s="74">
        <v>2013</v>
      </c>
      <c r="B326" s="75" t="s">
        <v>390</v>
      </c>
      <c r="C326" s="75" t="s">
        <v>391</v>
      </c>
      <c r="D326" s="76">
        <v>1425062</v>
      </c>
      <c r="E326" s="76">
        <v>2</v>
      </c>
      <c r="F326" s="76"/>
      <c r="G326" s="75">
        <v>270</v>
      </c>
      <c r="H326" s="75">
        <v>10</v>
      </c>
      <c r="I326" s="76"/>
      <c r="J326" s="76" t="s">
        <v>17</v>
      </c>
      <c r="K326" s="76" t="b">
        <v>0</v>
      </c>
      <c r="L326" s="72">
        <v>2014</v>
      </c>
      <c r="M326" s="73">
        <v>3211000</v>
      </c>
      <c r="N326" s="77">
        <v>41222</v>
      </c>
      <c r="O326" s="77">
        <v>41275</v>
      </c>
    </row>
    <row r="327" spans="1:15" ht="14.25">
      <c r="A327" s="74">
        <v>2013</v>
      </c>
      <c r="B327" s="75" t="s">
        <v>390</v>
      </c>
      <c r="C327" s="75" t="s">
        <v>391</v>
      </c>
      <c r="D327" s="76">
        <v>1425062</v>
      </c>
      <c r="E327" s="76">
        <v>2</v>
      </c>
      <c r="F327" s="76"/>
      <c r="G327" s="75">
        <v>260</v>
      </c>
      <c r="H327" s="75">
        <v>9</v>
      </c>
      <c r="I327" s="76" t="s">
        <v>398</v>
      </c>
      <c r="J327" s="76" t="s">
        <v>118</v>
      </c>
      <c r="K327" s="76" t="b">
        <v>0</v>
      </c>
      <c r="L327" s="72">
        <v>2021</v>
      </c>
      <c r="M327" s="73">
        <v>896271</v>
      </c>
      <c r="N327" s="77">
        <v>41222</v>
      </c>
      <c r="O327" s="77">
        <v>41275</v>
      </c>
    </row>
    <row r="328" spans="1:15" ht="14.25">
      <c r="A328" s="74">
        <v>2013</v>
      </c>
      <c r="B328" s="75" t="s">
        <v>390</v>
      </c>
      <c r="C328" s="75" t="s">
        <v>391</v>
      </c>
      <c r="D328" s="76">
        <v>1425062</v>
      </c>
      <c r="E328" s="76">
        <v>2</v>
      </c>
      <c r="F328" s="76"/>
      <c r="G328" s="75">
        <v>2</v>
      </c>
      <c r="H328" s="75" t="s">
        <v>92</v>
      </c>
      <c r="I328" s="76"/>
      <c r="J328" s="76" t="s">
        <v>266</v>
      </c>
      <c r="K328" s="76" t="b">
        <v>1</v>
      </c>
      <c r="L328" s="72">
        <v>2019</v>
      </c>
      <c r="M328" s="73">
        <v>34994570</v>
      </c>
      <c r="N328" s="77">
        <v>41222</v>
      </c>
      <c r="O328" s="77">
        <v>41275</v>
      </c>
    </row>
    <row r="329" spans="1:15" ht="14.25">
      <c r="A329" s="74">
        <v>2013</v>
      </c>
      <c r="B329" s="75" t="s">
        <v>390</v>
      </c>
      <c r="C329" s="75" t="s">
        <v>391</v>
      </c>
      <c r="D329" s="76">
        <v>1425062</v>
      </c>
      <c r="E329" s="76">
        <v>2</v>
      </c>
      <c r="F329" s="76"/>
      <c r="G329" s="75">
        <v>330</v>
      </c>
      <c r="H329" s="75">
        <v>13</v>
      </c>
      <c r="I329" s="76"/>
      <c r="J329" s="76" t="s">
        <v>277</v>
      </c>
      <c r="K329" s="76" t="b">
        <v>1</v>
      </c>
      <c r="L329" s="72">
        <v>2016</v>
      </c>
      <c r="M329" s="73">
        <v>10854211</v>
      </c>
      <c r="N329" s="77">
        <v>41222</v>
      </c>
      <c r="O329" s="77">
        <v>41275</v>
      </c>
    </row>
    <row r="330" spans="1:15" ht="14.25">
      <c r="A330" s="74">
        <v>2013</v>
      </c>
      <c r="B330" s="75" t="s">
        <v>390</v>
      </c>
      <c r="C330" s="75" t="s">
        <v>391</v>
      </c>
      <c r="D330" s="76">
        <v>1425062</v>
      </c>
      <c r="E330" s="76">
        <v>2</v>
      </c>
      <c r="F330" s="76"/>
      <c r="G330" s="75">
        <v>460</v>
      </c>
      <c r="H330" s="75">
        <v>21</v>
      </c>
      <c r="I330" s="76" t="s">
        <v>392</v>
      </c>
      <c r="J330" s="76" t="s">
        <v>288</v>
      </c>
      <c r="K330" s="76" t="b">
        <v>1</v>
      </c>
      <c r="L330" s="72">
        <v>2019</v>
      </c>
      <c r="M330" s="73">
        <v>0.0734</v>
      </c>
      <c r="N330" s="77">
        <v>41222</v>
      </c>
      <c r="O330" s="77">
        <v>41275</v>
      </c>
    </row>
    <row r="331" spans="1:15" ht="14.25">
      <c r="A331" s="74">
        <v>2013</v>
      </c>
      <c r="B331" s="75" t="s">
        <v>390</v>
      </c>
      <c r="C331" s="75" t="s">
        <v>391</v>
      </c>
      <c r="D331" s="76">
        <v>1425062</v>
      </c>
      <c r="E331" s="76">
        <v>2</v>
      </c>
      <c r="F331" s="76"/>
      <c r="G331" s="75">
        <v>490</v>
      </c>
      <c r="H331" s="75" t="s">
        <v>133</v>
      </c>
      <c r="I331" s="76" t="s">
        <v>397</v>
      </c>
      <c r="J331" s="76" t="s">
        <v>292</v>
      </c>
      <c r="K331" s="76" t="b">
        <v>0</v>
      </c>
      <c r="L331" s="72">
        <v>2019</v>
      </c>
      <c r="M331" s="73">
        <v>3</v>
      </c>
      <c r="N331" s="77">
        <v>41222</v>
      </c>
      <c r="O331" s="77">
        <v>41275</v>
      </c>
    </row>
    <row r="332" spans="1:15" ht="14.25">
      <c r="A332" s="74">
        <v>2013</v>
      </c>
      <c r="B332" s="75" t="s">
        <v>390</v>
      </c>
      <c r="C332" s="75" t="s">
        <v>391</v>
      </c>
      <c r="D332" s="76">
        <v>1425062</v>
      </c>
      <c r="E332" s="76">
        <v>2</v>
      </c>
      <c r="F332" s="76"/>
      <c r="G332" s="75">
        <v>440</v>
      </c>
      <c r="H332" s="75">
        <v>20</v>
      </c>
      <c r="I332" s="76" t="s">
        <v>403</v>
      </c>
      <c r="J332" s="76" t="s">
        <v>130</v>
      </c>
      <c r="K332" s="76" t="b">
        <v>1</v>
      </c>
      <c r="L332" s="72">
        <v>2015</v>
      </c>
      <c r="M332" s="73">
        <v>0.064</v>
      </c>
      <c r="N332" s="77">
        <v>41222</v>
      </c>
      <c r="O332" s="77">
        <v>41275</v>
      </c>
    </row>
    <row r="333" spans="1:15" ht="14.25">
      <c r="A333" s="74">
        <v>2013</v>
      </c>
      <c r="B333" s="75" t="s">
        <v>390</v>
      </c>
      <c r="C333" s="75" t="s">
        <v>391</v>
      </c>
      <c r="D333" s="76">
        <v>1425062</v>
      </c>
      <c r="E333" s="76">
        <v>2</v>
      </c>
      <c r="F333" s="76"/>
      <c r="G333" s="75">
        <v>490</v>
      </c>
      <c r="H333" s="75" t="s">
        <v>133</v>
      </c>
      <c r="I333" s="76" t="s">
        <v>397</v>
      </c>
      <c r="J333" s="76" t="s">
        <v>292</v>
      </c>
      <c r="K333" s="76" t="b">
        <v>0</v>
      </c>
      <c r="L333" s="72">
        <v>2022</v>
      </c>
      <c r="M333" s="73">
        <v>349</v>
      </c>
      <c r="N333" s="77">
        <v>41222</v>
      </c>
      <c r="O333" s="77">
        <v>41275</v>
      </c>
    </row>
    <row r="334" spans="1:15" ht="14.25">
      <c r="A334" s="74">
        <v>2013</v>
      </c>
      <c r="B334" s="75" t="s">
        <v>390</v>
      </c>
      <c r="C334" s="75" t="s">
        <v>391</v>
      </c>
      <c r="D334" s="76">
        <v>1425062</v>
      </c>
      <c r="E334" s="76">
        <v>2</v>
      </c>
      <c r="F334" s="76"/>
      <c r="G334" s="75">
        <v>491</v>
      </c>
      <c r="H334" s="75" t="s">
        <v>264</v>
      </c>
      <c r="I334" s="76" t="s">
        <v>397</v>
      </c>
      <c r="J334" s="76" t="s">
        <v>293</v>
      </c>
      <c r="K334" s="76" t="b">
        <v>0</v>
      </c>
      <c r="L334" s="72">
        <v>2016</v>
      </c>
      <c r="M334" s="73">
        <v>307</v>
      </c>
      <c r="N334" s="77">
        <v>41222</v>
      </c>
      <c r="O334" s="77">
        <v>41275</v>
      </c>
    </row>
    <row r="335" spans="1:15" ht="14.25">
      <c r="A335" s="74">
        <v>2013</v>
      </c>
      <c r="B335" s="75" t="s">
        <v>390</v>
      </c>
      <c r="C335" s="75" t="s">
        <v>391</v>
      </c>
      <c r="D335" s="76">
        <v>1425062</v>
      </c>
      <c r="E335" s="76">
        <v>2</v>
      </c>
      <c r="F335" s="76"/>
      <c r="G335" s="75">
        <v>490</v>
      </c>
      <c r="H335" s="75" t="s">
        <v>133</v>
      </c>
      <c r="I335" s="76" t="s">
        <v>397</v>
      </c>
      <c r="J335" s="76" t="s">
        <v>292</v>
      </c>
      <c r="K335" s="76" t="b">
        <v>0</v>
      </c>
      <c r="L335" s="72">
        <v>2016</v>
      </c>
      <c r="M335" s="73">
        <v>307</v>
      </c>
      <c r="N335" s="77">
        <v>41222</v>
      </c>
      <c r="O335" s="77">
        <v>41275</v>
      </c>
    </row>
    <row r="336" spans="1:15" ht="14.25">
      <c r="A336" s="74">
        <v>2013</v>
      </c>
      <c r="B336" s="75" t="s">
        <v>390</v>
      </c>
      <c r="C336" s="75" t="s">
        <v>391</v>
      </c>
      <c r="D336" s="76">
        <v>1425062</v>
      </c>
      <c r="E336" s="76">
        <v>2</v>
      </c>
      <c r="F336" s="76"/>
      <c r="G336" s="75">
        <v>230</v>
      </c>
      <c r="H336" s="75" t="s">
        <v>115</v>
      </c>
      <c r="I336" s="76"/>
      <c r="J336" s="76" t="s">
        <v>275</v>
      </c>
      <c r="K336" s="76" t="b">
        <v>1</v>
      </c>
      <c r="L336" s="72">
        <v>2020</v>
      </c>
      <c r="M336" s="73">
        <v>216400</v>
      </c>
      <c r="N336" s="77">
        <v>41222</v>
      </c>
      <c r="O336" s="77">
        <v>41275</v>
      </c>
    </row>
    <row r="337" spans="1:15" ht="14.25">
      <c r="A337" s="74">
        <v>2013</v>
      </c>
      <c r="B337" s="75" t="s">
        <v>390</v>
      </c>
      <c r="C337" s="75" t="s">
        <v>391</v>
      </c>
      <c r="D337" s="76">
        <v>1425062</v>
      </c>
      <c r="E337" s="76">
        <v>2</v>
      </c>
      <c r="F337" s="76"/>
      <c r="G337" s="75">
        <v>10</v>
      </c>
      <c r="H337" s="75" t="s">
        <v>97</v>
      </c>
      <c r="I337" s="76"/>
      <c r="J337" s="76" t="s">
        <v>98</v>
      </c>
      <c r="K337" s="76" t="b">
        <v>0</v>
      </c>
      <c r="L337" s="72">
        <v>2018</v>
      </c>
      <c r="M337" s="73">
        <v>17272644</v>
      </c>
      <c r="N337" s="77">
        <v>41222</v>
      </c>
      <c r="O337" s="77">
        <v>41275</v>
      </c>
    </row>
    <row r="338" spans="1:15" ht="14.25">
      <c r="A338" s="74">
        <v>2013</v>
      </c>
      <c r="B338" s="75" t="s">
        <v>390</v>
      </c>
      <c r="C338" s="75" t="s">
        <v>391</v>
      </c>
      <c r="D338" s="76">
        <v>1425062</v>
      </c>
      <c r="E338" s="76">
        <v>2</v>
      </c>
      <c r="F338" s="76"/>
      <c r="G338" s="75">
        <v>160</v>
      </c>
      <c r="H338" s="75">
        <v>3</v>
      </c>
      <c r="I338" s="76" t="s">
        <v>406</v>
      </c>
      <c r="J338" s="76" t="s">
        <v>107</v>
      </c>
      <c r="K338" s="76" t="b">
        <v>1</v>
      </c>
      <c r="L338" s="72">
        <v>2022</v>
      </c>
      <c r="M338" s="73">
        <v>3921630</v>
      </c>
      <c r="N338" s="77">
        <v>41222</v>
      </c>
      <c r="O338" s="77">
        <v>41275</v>
      </c>
    </row>
    <row r="339" spans="1:15" ht="14.25">
      <c r="A339" s="74">
        <v>2013</v>
      </c>
      <c r="B339" s="75" t="s">
        <v>390</v>
      </c>
      <c r="C339" s="75" t="s">
        <v>391</v>
      </c>
      <c r="D339" s="76">
        <v>1425062</v>
      </c>
      <c r="E339" s="76">
        <v>2</v>
      </c>
      <c r="F339" s="76"/>
      <c r="G339" s="75">
        <v>400</v>
      </c>
      <c r="H339" s="75">
        <v>18</v>
      </c>
      <c r="I339" s="76" t="s">
        <v>410</v>
      </c>
      <c r="J339" s="76" t="s">
        <v>69</v>
      </c>
      <c r="K339" s="76" t="b">
        <v>0</v>
      </c>
      <c r="L339" s="72">
        <v>2018</v>
      </c>
      <c r="M339" s="73">
        <v>0.2128</v>
      </c>
      <c r="N339" s="77">
        <v>41222</v>
      </c>
      <c r="O339" s="77">
        <v>41275</v>
      </c>
    </row>
    <row r="340" spans="1:15" ht="14.25">
      <c r="A340" s="74">
        <v>2013</v>
      </c>
      <c r="B340" s="75" t="s">
        <v>390</v>
      </c>
      <c r="C340" s="75" t="s">
        <v>391</v>
      </c>
      <c r="D340" s="76">
        <v>1425062</v>
      </c>
      <c r="E340" s="76">
        <v>2</v>
      </c>
      <c r="F340" s="76"/>
      <c r="G340" s="75">
        <v>410</v>
      </c>
      <c r="H340" s="75" t="s">
        <v>128</v>
      </c>
      <c r="I340" s="76" t="s">
        <v>413</v>
      </c>
      <c r="J340" s="76" t="s">
        <v>71</v>
      </c>
      <c r="K340" s="76" t="b">
        <v>0</v>
      </c>
      <c r="L340" s="72">
        <v>2017</v>
      </c>
      <c r="M340" s="73">
        <v>0.2771</v>
      </c>
      <c r="N340" s="77">
        <v>41222</v>
      </c>
      <c r="O340" s="77">
        <v>41275</v>
      </c>
    </row>
    <row r="341" spans="1:15" ht="14.25">
      <c r="A341" s="74">
        <v>2013</v>
      </c>
      <c r="B341" s="75" t="s">
        <v>390</v>
      </c>
      <c r="C341" s="75" t="s">
        <v>391</v>
      </c>
      <c r="D341" s="76">
        <v>1425062</v>
      </c>
      <c r="E341" s="76">
        <v>2</v>
      </c>
      <c r="F341" s="76"/>
      <c r="G341" s="75">
        <v>190</v>
      </c>
      <c r="H341" s="75">
        <v>6</v>
      </c>
      <c r="I341" s="76" t="s">
        <v>409</v>
      </c>
      <c r="J341" s="76" t="s">
        <v>111</v>
      </c>
      <c r="K341" s="76" t="b">
        <v>0</v>
      </c>
      <c r="L341" s="72">
        <v>2018</v>
      </c>
      <c r="M341" s="73">
        <v>2906476</v>
      </c>
      <c r="N341" s="77">
        <v>41222</v>
      </c>
      <c r="O341" s="77">
        <v>41275</v>
      </c>
    </row>
    <row r="342" spans="1:15" ht="14.25">
      <c r="A342" s="74">
        <v>2013</v>
      </c>
      <c r="B342" s="75" t="s">
        <v>390</v>
      </c>
      <c r="C342" s="75" t="s">
        <v>391</v>
      </c>
      <c r="D342" s="76">
        <v>1425062</v>
      </c>
      <c r="E342" s="76">
        <v>2</v>
      </c>
      <c r="F342" s="76"/>
      <c r="G342" s="75">
        <v>491</v>
      </c>
      <c r="H342" s="75" t="s">
        <v>264</v>
      </c>
      <c r="I342" s="76" t="s">
        <v>397</v>
      </c>
      <c r="J342" s="76" t="s">
        <v>293</v>
      </c>
      <c r="K342" s="76" t="b">
        <v>0</v>
      </c>
      <c r="L342" s="72">
        <v>2021</v>
      </c>
      <c r="M342" s="73">
        <v>47</v>
      </c>
      <c r="N342" s="77">
        <v>41222</v>
      </c>
      <c r="O342" s="77">
        <v>41275</v>
      </c>
    </row>
    <row r="343" spans="1:15" ht="14.25">
      <c r="A343" s="74">
        <v>2013</v>
      </c>
      <c r="B343" s="75" t="s">
        <v>390</v>
      </c>
      <c r="C343" s="75" t="s">
        <v>391</v>
      </c>
      <c r="D343" s="76">
        <v>1425062</v>
      </c>
      <c r="E343" s="76">
        <v>2</v>
      </c>
      <c r="F343" s="76"/>
      <c r="G343" s="75">
        <v>570</v>
      </c>
      <c r="H343" s="75">
        <v>30</v>
      </c>
      <c r="I343" s="76" t="s">
        <v>404</v>
      </c>
      <c r="J343" s="76" t="s">
        <v>295</v>
      </c>
      <c r="K343" s="76" t="b">
        <v>0</v>
      </c>
      <c r="L343" s="72">
        <v>2018</v>
      </c>
      <c r="M343" s="73">
        <v>1950000</v>
      </c>
      <c r="N343" s="77">
        <v>41222</v>
      </c>
      <c r="O343" s="77">
        <v>41275</v>
      </c>
    </row>
    <row r="344" spans="1:15" ht="14.25">
      <c r="A344" s="74">
        <v>2013</v>
      </c>
      <c r="B344" s="75" t="s">
        <v>390</v>
      </c>
      <c r="C344" s="75" t="s">
        <v>391</v>
      </c>
      <c r="D344" s="76">
        <v>1425062</v>
      </c>
      <c r="E344" s="76">
        <v>2</v>
      </c>
      <c r="F344" s="76"/>
      <c r="G344" s="75">
        <v>240</v>
      </c>
      <c r="H344" s="75" t="s">
        <v>116</v>
      </c>
      <c r="I344" s="76"/>
      <c r="J344" s="76" t="s">
        <v>276</v>
      </c>
      <c r="K344" s="76" t="b">
        <v>1</v>
      </c>
      <c r="L344" s="72">
        <v>2015</v>
      </c>
      <c r="M344" s="73">
        <v>530000</v>
      </c>
      <c r="N344" s="77">
        <v>41222</v>
      </c>
      <c r="O344" s="77">
        <v>41275</v>
      </c>
    </row>
    <row r="345" spans="1:15" ht="14.25">
      <c r="A345" s="74">
        <v>2013</v>
      </c>
      <c r="B345" s="75" t="s">
        <v>390</v>
      </c>
      <c r="C345" s="75" t="s">
        <v>391</v>
      </c>
      <c r="D345" s="76">
        <v>1425062</v>
      </c>
      <c r="E345" s="76">
        <v>2</v>
      </c>
      <c r="F345" s="76"/>
      <c r="G345" s="75">
        <v>8</v>
      </c>
      <c r="H345" s="75" t="s">
        <v>96</v>
      </c>
      <c r="I345" s="76"/>
      <c r="J345" s="76" t="s">
        <v>248</v>
      </c>
      <c r="K345" s="76" t="b">
        <v>1</v>
      </c>
      <c r="L345" s="72">
        <v>2017</v>
      </c>
      <c r="M345" s="73">
        <v>510000</v>
      </c>
      <c r="N345" s="77">
        <v>41222</v>
      </c>
      <c r="O345" s="77">
        <v>41275</v>
      </c>
    </row>
    <row r="346" spans="1:15" ht="14.25">
      <c r="A346" s="74">
        <v>2013</v>
      </c>
      <c r="B346" s="75" t="s">
        <v>390</v>
      </c>
      <c r="C346" s="75" t="s">
        <v>391</v>
      </c>
      <c r="D346" s="76">
        <v>1425062</v>
      </c>
      <c r="E346" s="76">
        <v>2</v>
      </c>
      <c r="F346" s="76"/>
      <c r="G346" s="75">
        <v>480</v>
      </c>
      <c r="H346" s="75">
        <v>22</v>
      </c>
      <c r="I346" s="76" t="s">
        <v>412</v>
      </c>
      <c r="J346" s="76" t="s">
        <v>291</v>
      </c>
      <c r="K346" s="76" t="b">
        <v>0</v>
      </c>
      <c r="L346" s="72">
        <v>2022</v>
      </c>
      <c r="M346" s="73">
        <v>0.0476</v>
      </c>
      <c r="N346" s="77">
        <v>41222</v>
      </c>
      <c r="O346" s="77">
        <v>41275</v>
      </c>
    </row>
    <row r="347" spans="1:15" ht="14.25">
      <c r="A347" s="74">
        <v>2013</v>
      </c>
      <c r="B347" s="75" t="s">
        <v>390</v>
      </c>
      <c r="C347" s="75" t="s">
        <v>391</v>
      </c>
      <c r="D347" s="76">
        <v>1425062</v>
      </c>
      <c r="E347" s="76">
        <v>2</v>
      </c>
      <c r="F347" s="76"/>
      <c r="G347" s="75">
        <v>210</v>
      </c>
      <c r="H347" s="75" t="s">
        <v>112</v>
      </c>
      <c r="I347" s="76"/>
      <c r="J347" s="76" t="s">
        <v>274</v>
      </c>
      <c r="K347" s="76" t="b">
        <v>1</v>
      </c>
      <c r="L347" s="72">
        <v>2013</v>
      </c>
      <c r="M347" s="73">
        <v>3670600</v>
      </c>
      <c r="N347" s="77">
        <v>41222</v>
      </c>
      <c r="O347" s="77">
        <v>41275</v>
      </c>
    </row>
    <row r="348" spans="1:15" ht="14.25">
      <c r="A348" s="74">
        <v>2013</v>
      </c>
      <c r="B348" s="75" t="s">
        <v>390</v>
      </c>
      <c r="C348" s="75" t="s">
        <v>391</v>
      </c>
      <c r="D348" s="76">
        <v>1425062</v>
      </c>
      <c r="E348" s="76">
        <v>2</v>
      </c>
      <c r="F348" s="76"/>
      <c r="G348" s="75">
        <v>190</v>
      </c>
      <c r="H348" s="75">
        <v>6</v>
      </c>
      <c r="I348" s="76" t="s">
        <v>409</v>
      </c>
      <c r="J348" s="76" t="s">
        <v>111</v>
      </c>
      <c r="K348" s="76" t="b">
        <v>0</v>
      </c>
      <c r="L348" s="72">
        <v>2020</v>
      </c>
      <c r="M348" s="73">
        <v>2326459</v>
      </c>
      <c r="N348" s="77">
        <v>41222</v>
      </c>
      <c r="O348" s="77">
        <v>41275</v>
      </c>
    </row>
    <row r="349" spans="1:15" ht="14.25">
      <c r="A349" s="74">
        <v>2013</v>
      </c>
      <c r="B349" s="75" t="s">
        <v>390</v>
      </c>
      <c r="C349" s="75" t="s">
        <v>391</v>
      </c>
      <c r="D349" s="76">
        <v>1425062</v>
      </c>
      <c r="E349" s="76">
        <v>2</v>
      </c>
      <c r="F349" s="76"/>
      <c r="G349" s="75">
        <v>530</v>
      </c>
      <c r="H349" s="75">
        <v>26</v>
      </c>
      <c r="I349" s="76" t="s">
        <v>395</v>
      </c>
      <c r="J349" s="76" t="s">
        <v>58</v>
      </c>
      <c r="K349" s="76" t="b">
        <v>1</v>
      </c>
      <c r="L349" s="72">
        <v>2016</v>
      </c>
      <c r="M349" s="73">
        <v>34049571</v>
      </c>
      <c r="N349" s="77">
        <v>41222</v>
      </c>
      <c r="O349" s="77">
        <v>41275</v>
      </c>
    </row>
    <row r="350" spans="1:15" ht="14.25">
      <c r="A350" s="74">
        <v>2013</v>
      </c>
      <c r="B350" s="75" t="s">
        <v>390</v>
      </c>
      <c r="C350" s="75" t="s">
        <v>391</v>
      </c>
      <c r="D350" s="76">
        <v>1425062</v>
      </c>
      <c r="E350" s="76">
        <v>2</v>
      </c>
      <c r="F350" s="76"/>
      <c r="G350" s="75">
        <v>370</v>
      </c>
      <c r="H350" s="75">
        <v>16</v>
      </c>
      <c r="I350" s="76"/>
      <c r="J350" s="76" t="s">
        <v>126</v>
      </c>
      <c r="K350" s="76" t="b">
        <v>1</v>
      </c>
      <c r="L350" s="72">
        <v>2014</v>
      </c>
      <c r="M350" s="73">
        <v>374626</v>
      </c>
      <c r="N350" s="77">
        <v>41222</v>
      </c>
      <c r="O350" s="77">
        <v>41275</v>
      </c>
    </row>
    <row r="351" spans="1:15" ht="14.25">
      <c r="A351" s="74">
        <v>2013</v>
      </c>
      <c r="B351" s="75" t="s">
        <v>390</v>
      </c>
      <c r="C351" s="75" t="s">
        <v>391</v>
      </c>
      <c r="D351" s="76">
        <v>1425062</v>
      </c>
      <c r="E351" s="76">
        <v>2</v>
      </c>
      <c r="F351" s="76"/>
      <c r="G351" s="75">
        <v>290</v>
      </c>
      <c r="H351" s="75" t="s">
        <v>121</v>
      </c>
      <c r="I351" s="76"/>
      <c r="J351" s="76" t="s">
        <v>271</v>
      </c>
      <c r="K351" s="76" t="b">
        <v>0</v>
      </c>
      <c r="L351" s="72">
        <v>2017</v>
      </c>
      <c r="M351" s="73">
        <v>1000000</v>
      </c>
      <c r="N351" s="77">
        <v>41222</v>
      </c>
      <c r="O351" s="77">
        <v>41275</v>
      </c>
    </row>
    <row r="352" spans="1:15" ht="14.25">
      <c r="A352" s="74">
        <v>2013</v>
      </c>
      <c r="B352" s="75" t="s">
        <v>390</v>
      </c>
      <c r="C352" s="75" t="s">
        <v>391</v>
      </c>
      <c r="D352" s="76">
        <v>1425062</v>
      </c>
      <c r="E352" s="76">
        <v>2</v>
      </c>
      <c r="F352" s="76"/>
      <c r="G352" s="75">
        <v>540</v>
      </c>
      <c r="H352" s="75">
        <v>27</v>
      </c>
      <c r="I352" s="76" t="s">
        <v>400</v>
      </c>
      <c r="J352" s="76" t="s">
        <v>45</v>
      </c>
      <c r="K352" s="76" t="b">
        <v>0</v>
      </c>
      <c r="L352" s="72">
        <v>2017</v>
      </c>
      <c r="M352" s="73">
        <v>31366241</v>
      </c>
      <c r="N352" s="77">
        <v>41222</v>
      </c>
      <c r="O352" s="77">
        <v>41275</v>
      </c>
    </row>
    <row r="353" spans="1:15" ht="14.25">
      <c r="A353" s="74">
        <v>2013</v>
      </c>
      <c r="B353" s="75" t="s">
        <v>390</v>
      </c>
      <c r="C353" s="75" t="s">
        <v>391</v>
      </c>
      <c r="D353" s="76">
        <v>1425062</v>
      </c>
      <c r="E353" s="76">
        <v>2</v>
      </c>
      <c r="F353" s="76"/>
      <c r="G353" s="75">
        <v>10</v>
      </c>
      <c r="H353" s="75" t="s">
        <v>97</v>
      </c>
      <c r="I353" s="76"/>
      <c r="J353" s="76" t="s">
        <v>98</v>
      </c>
      <c r="K353" s="76" t="b">
        <v>0</v>
      </c>
      <c r="L353" s="72">
        <v>2013</v>
      </c>
      <c r="M353" s="73">
        <v>14910403</v>
      </c>
      <c r="N353" s="77">
        <v>41222</v>
      </c>
      <c r="O353" s="77">
        <v>41275</v>
      </c>
    </row>
    <row r="354" spans="1:15" ht="14.25">
      <c r="A354" s="74">
        <v>2013</v>
      </c>
      <c r="B354" s="75" t="s">
        <v>390</v>
      </c>
      <c r="C354" s="75" t="s">
        <v>391</v>
      </c>
      <c r="D354" s="76">
        <v>1425062</v>
      </c>
      <c r="E354" s="76">
        <v>2</v>
      </c>
      <c r="F354" s="76"/>
      <c r="G354" s="75">
        <v>230</v>
      </c>
      <c r="H354" s="75" t="s">
        <v>115</v>
      </c>
      <c r="I354" s="76"/>
      <c r="J354" s="76" t="s">
        <v>275</v>
      </c>
      <c r="K354" s="76" t="b">
        <v>1</v>
      </c>
      <c r="L354" s="72">
        <v>2019</v>
      </c>
      <c r="M354" s="73">
        <v>120000</v>
      </c>
      <c r="N354" s="77">
        <v>41222</v>
      </c>
      <c r="O354" s="77">
        <v>41275</v>
      </c>
    </row>
    <row r="355" spans="1:15" ht="14.25">
      <c r="A355" s="74">
        <v>2013</v>
      </c>
      <c r="B355" s="75" t="s">
        <v>390</v>
      </c>
      <c r="C355" s="75" t="s">
        <v>391</v>
      </c>
      <c r="D355" s="76">
        <v>1425062</v>
      </c>
      <c r="E355" s="76">
        <v>2</v>
      </c>
      <c r="F355" s="76"/>
      <c r="G355" s="75">
        <v>9</v>
      </c>
      <c r="H355" s="75">
        <v>2</v>
      </c>
      <c r="I355" s="76"/>
      <c r="J355" s="76" t="s">
        <v>3</v>
      </c>
      <c r="K355" s="76" t="b">
        <v>1</v>
      </c>
      <c r="L355" s="72">
        <v>2013</v>
      </c>
      <c r="M355" s="73">
        <v>26200366</v>
      </c>
      <c r="N355" s="77">
        <v>41222</v>
      </c>
      <c r="O355" s="77">
        <v>41275</v>
      </c>
    </row>
    <row r="356" spans="1:15" ht="14.25">
      <c r="A356" s="74">
        <v>2013</v>
      </c>
      <c r="B356" s="75" t="s">
        <v>390</v>
      </c>
      <c r="C356" s="75" t="s">
        <v>391</v>
      </c>
      <c r="D356" s="76">
        <v>1425062</v>
      </c>
      <c r="E356" s="76">
        <v>2</v>
      </c>
      <c r="F356" s="76"/>
      <c r="G356" s="75">
        <v>5</v>
      </c>
      <c r="H356" s="75" t="s">
        <v>94</v>
      </c>
      <c r="I356" s="76"/>
      <c r="J356" s="76" t="s">
        <v>268</v>
      </c>
      <c r="K356" s="76" t="b">
        <v>1</v>
      </c>
      <c r="L356" s="72">
        <v>2017</v>
      </c>
      <c r="M356" s="73">
        <v>510000</v>
      </c>
      <c r="N356" s="77">
        <v>41222</v>
      </c>
      <c r="O356" s="77">
        <v>41275</v>
      </c>
    </row>
    <row r="357" spans="1:15" ht="14.25">
      <c r="A357" s="74">
        <v>2013</v>
      </c>
      <c r="B357" s="75" t="s">
        <v>390</v>
      </c>
      <c r="C357" s="75" t="s">
        <v>391</v>
      </c>
      <c r="D357" s="76">
        <v>1425062</v>
      </c>
      <c r="E357" s="76">
        <v>2</v>
      </c>
      <c r="F357" s="76"/>
      <c r="G357" s="75">
        <v>480</v>
      </c>
      <c r="H357" s="75">
        <v>22</v>
      </c>
      <c r="I357" s="76" t="s">
        <v>412</v>
      </c>
      <c r="J357" s="76" t="s">
        <v>291</v>
      </c>
      <c r="K357" s="76" t="b">
        <v>0</v>
      </c>
      <c r="L357" s="72">
        <v>2021</v>
      </c>
      <c r="M357" s="73">
        <v>0.0728</v>
      </c>
      <c r="N357" s="77">
        <v>41222</v>
      </c>
      <c r="O357" s="77">
        <v>41275</v>
      </c>
    </row>
    <row r="358" spans="1:15" ht="14.25">
      <c r="A358" s="74">
        <v>2013</v>
      </c>
      <c r="B358" s="75" t="s">
        <v>390</v>
      </c>
      <c r="C358" s="75" t="s">
        <v>391</v>
      </c>
      <c r="D358" s="76">
        <v>1425062</v>
      </c>
      <c r="E358" s="76">
        <v>2</v>
      </c>
      <c r="F358" s="76"/>
      <c r="G358" s="75">
        <v>480</v>
      </c>
      <c r="H358" s="75">
        <v>22</v>
      </c>
      <c r="I358" s="76" t="s">
        <v>412</v>
      </c>
      <c r="J358" s="76" t="s">
        <v>291</v>
      </c>
      <c r="K358" s="76" t="b">
        <v>0</v>
      </c>
      <c r="L358" s="72">
        <v>2013</v>
      </c>
      <c r="M358" s="73">
        <v>0.1365</v>
      </c>
      <c r="N358" s="77">
        <v>41222</v>
      </c>
      <c r="O358" s="77">
        <v>41275</v>
      </c>
    </row>
    <row r="359" spans="1:15" ht="14.25">
      <c r="A359" s="74">
        <v>2013</v>
      </c>
      <c r="B359" s="75" t="s">
        <v>390</v>
      </c>
      <c r="C359" s="75" t="s">
        <v>391</v>
      </c>
      <c r="D359" s="76">
        <v>1425062</v>
      </c>
      <c r="E359" s="76">
        <v>2</v>
      </c>
      <c r="F359" s="76"/>
      <c r="G359" s="75">
        <v>540</v>
      </c>
      <c r="H359" s="75">
        <v>27</v>
      </c>
      <c r="I359" s="76" t="s">
        <v>400</v>
      </c>
      <c r="J359" s="76" t="s">
        <v>45</v>
      </c>
      <c r="K359" s="76" t="b">
        <v>0</v>
      </c>
      <c r="L359" s="72">
        <v>2013</v>
      </c>
      <c r="M359" s="73">
        <v>31540829</v>
      </c>
      <c r="N359" s="77">
        <v>41222</v>
      </c>
      <c r="O359" s="77">
        <v>41275</v>
      </c>
    </row>
    <row r="360" spans="1:15" ht="14.25">
      <c r="A360" s="74">
        <v>2013</v>
      </c>
      <c r="B360" s="75" t="s">
        <v>390</v>
      </c>
      <c r="C360" s="75" t="s">
        <v>391</v>
      </c>
      <c r="D360" s="76">
        <v>1425062</v>
      </c>
      <c r="E360" s="76">
        <v>2</v>
      </c>
      <c r="F360" s="76"/>
      <c r="G360" s="75">
        <v>8</v>
      </c>
      <c r="H360" s="75" t="s">
        <v>96</v>
      </c>
      <c r="I360" s="76"/>
      <c r="J360" s="76" t="s">
        <v>248</v>
      </c>
      <c r="K360" s="76" t="b">
        <v>1</v>
      </c>
      <c r="L360" s="72">
        <v>2014</v>
      </c>
      <c r="M360" s="73">
        <v>668828</v>
      </c>
      <c r="N360" s="77">
        <v>41222</v>
      </c>
      <c r="O360" s="77">
        <v>41275</v>
      </c>
    </row>
    <row r="361" spans="1:15" ht="14.25">
      <c r="A361" s="74">
        <v>2013</v>
      </c>
      <c r="B361" s="75" t="s">
        <v>390</v>
      </c>
      <c r="C361" s="75" t="s">
        <v>391</v>
      </c>
      <c r="D361" s="76">
        <v>1425062</v>
      </c>
      <c r="E361" s="76">
        <v>2</v>
      </c>
      <c r="F361" s="76"/>
      <c r="G361" s="75">
        <v>190</v>
      </c>
      <c r="H361" s="75">
        <v>6</v>
      </c>
      <c r="I361" s="76" t="s">
        <v>409</v>
      </c>
      <c r="J361" s="76" t="s">
        <v>111</v>
      </c>
      <c r="K361" s="76" t="b">
        <v>0</v>
      </c>
      <c r="L361" s="72">
        <v>2019</v>
      </c>
      <c r="M361" s="73">
        <v>3412279</v>
      </c>
      <c r="N361" s="77">
        <v>41222</v>
      </c>
      <c r="O361" s="77">
        <v>41275</v>
      </c>
    </row>
    <row r="362" spans="1:15" ht="14.25">
      <c r="A362" s="74">
        <v>2013</v>
      </c>
      <c r="B362" s="75" t="s">
        <v>390</v>
      </c>
      <c r="C362" s="75" t="s">
        <v>391</v>
      </c>
      <c r="D362" s="76">
        <v>1425062</v>
      </c>
      <c r="E362" s="76">
        <v>2</v>
      </c>
      <c r="F362" s="76"/>
      <c r="G362" s="75">
        <v>530</v>
      </c>
      <c r="H362" s="75">
        <v>26</v>
      </c>
      <c r="I362" s="76" t="s">
        <v>395</v>
      </c>
      <c r="J362" s="76" t="s">
        <v>58</v>
      </c>
      <c r="K362" s="76" t="b">
        <v>1</v>
      </c>
      <c r="L362" s="72">
        <v>2022</v>
      </c>
      <c r="M362" s="73">
        <v>38130238</v>
      </c>
      <c r="N362" s="77">
        <v>41222</v>
      </c>
      <c r="O362" s="77">
        <v>41275</v>
      </c>
    </row>
    <row r="363" spans="1:15" ht="14.25">
      <c r="A363" s="74">
        <v>2013</v>
      </c>
      <c r="B363" s="75" t="s">
        <v>390</v>
      </c>
      <c r="C363" s="75" t="s">
        <v>391</v>
      </c>
      <c r="D363" s="76">
        <v>1425062</v>
      </c>
      <c r="E363" s="76">
        <v>2</v>
      </c>
      <c r="F363" s="76"/>
      <c r="G363" s="75">
        <v>11</v>
      </c>
      <c r="H363" s="75" t="s">
        <v>99</v>
      </c>
      <c r="I363" s="76"/>
      <c r="J363" s="76" t="s">
        <v>100</v>
      </c>
      <c r="K363" s="76" t="b">
        <v>0</v>
      </c>
      <c r="L363" s="72">
        <v>2018</v>
      </c>
      <c r="M363" s="73">
        <v>3434392</v>
      </c>
      <c r="N363" s="77">
        <v>41222</v>
      </c>
      <c r="O363" s="77">
        <v>41275</v>
      </c>
    </row>
    <row r="364" spans="1:15" ht="14.25">
      <c r="A364" s="74">
        <v>2013</v>
      </c>
      <c r="B364" s="75" t="s">
        <v>390</v>
      </c>
      <c r="C364" s="75" t="s">
        <v>391</v>
      </c>
      <c r="D364" s="76">
        <v>1425062</v>
      </c>
      <c r="E364" s="76">
        <v>2</v>
      </c>
      <c r="F364" s="76"/>
      <c r="G364" s="75">
        <v>270</v>
      </c>
      <c r="H364" s="75">
        <v>10</v>
      </c>
      <c r="I364" s="76"/>
      <c r="J364" s="76" t="s">
        <v>17</v>
      </c>
      <c r="K364" s="76" t="b">
        <v>0</v>
      </c>
      <c r="L364" s="72">
        <v>2019</v>
      </c>
      <c r="M364" s="73">
        <v>842279</v>
      </c>
      <c r="N364" s="77">
        <v>41222</v>
      </c>
      <c r="O364" s="77">
        <v>41275</v>
      </c>
    </row>
    <row r="365" spans="1:15" ht="14.25">
      <c r="A365" s="74">
        <v>2013</v>
      </c>
      <c r="B365" s="75" t="s">
        <v>390</v>
      </c>
      <c r="C365" s="75" t="s">
        <v>391</v>
      </c>
      <c r="D365" s="76">
        <v>1425062</v>
      </c>
      <c r="E365" s="76">
        <v>2</v>
      </c>
      <c r="F365" s="76"/>
      <c r="G365" s="75">
        <v>3</v>
      </c>
      <c r="H365" s="75" t="s">
        <v>245</v>
      </c>
      <c r="I365" s="76"/>
      <c r="J365" s="76" t="s">
        <v>244</v>
      </c>
      <c r="K365" s="76" t="b">
        <v>1</v>
      </c>
      <c r="L365" s="72">
        <v>2013</v>
      </c>
      <c r="M365" s="73">
        <v>170050</v>
      </c>
      <c r="N365" s="77">
        <v>41222</v>
      </c>
      <c r="O365" s="77">
        <v>41275</v>
      </c>
    </row>
    <row r="366" spans="1:15" ht="14.25">
      <c r="A366" s="74">
        <v>2013</v>
      </c>
      <c r="B366" s="75" t="s">
        <v>390</v>
      </c>
      <c r="C366" s="75" t="s">
        <v>391</v>
      </c>
      <c r="D366" s="76">
        <v>1425062</v>
      </c>
      <c r="E366" s="76">
        <v>2</v>
      </c>
      <c r="F366" s="76"/>
      <c r="G366" s="75">
        <v>290</v>
      </c>
      <c r="H366" s="75" t="s">
        <v>121</v>
      </c>
      <c r="I366" s="76"/>
      <c r="J366" s="76" t="s">
        <v>271</v>
      </c>
      <c r="K366" s="76" t="b">
        <v>0</v>
      </c>
      <c r="L366" s="72">
        <v>2013</v>
      </c>
      <c r="M366" s="73">
        <v>2838757</v>
      </c>
      <c r="N366" s="77">
        <v>41222</v>
      </c>
      <c r="O366" s="77">
        <v>41275</v>
      </c>
    </row>
    <row r="367" spans="1:15" ht="14.25">
      <c r="A367" s="74">
        <v>2013</v>
      </c>
      <c r="B367" s="75" t="s">
        <v>390</v>
      </c>
      <c r="C367" s="75" t="s">
        <v>391</v>
      </c>
      <c r="D367" s="76">
        <v>1425062</v>
      </c>
      <c r="E367" s="76">
        <v>2</v>
      </c>
      <c r="F367" s="76"/>
      <c r="G367" s="75">
        <v>460</v>
      </c>
      <c r="H367" s="75">
        <v>21</v>
      </c>
      <c r="I367" s="76" t="s">
        <v>392</v>
      </c>
      <c r="J367" s="76" t="s">
        <v>288</v>
      </c>
      <c r="K367" s="76" t="b">
        <v>1</v>
      </c>
      <c r="L367" s="72">
        <v>2021</v>
      </c>
      <c r="M367" s="73">
        <v>0.0728</v>
      </c>
      <c r="N367" s="77">
        <v>41222</v>
      </c>
      <c r="O367" s="77">
        <v>41275</v>
      </c>
    </row>
    <row r="368" spans="1:15" ht="14.25">
      <c r="A368" s="74">
        <v>2013</v>
      </c>
      <c r="B368" s="75" t="s">
        <v>390</v>
      </c>
      <c r="C368" s="75" t="s">
        <v>391</v>
      </c>
      <c r="D368" s="76">
        <v>1425062</v>
      </c>
      <c r="E368" s="76">
        <v>2</v>
      </c>
      <c r="F368" s="76"/>
      <c r="G368" s="75">
        <v>420</v>
      </c>
      <c r="H368" s="75">
        <v>19</v>
      </c>
      <c r="I368" s="76" t="s">
        <v>396</v>
      </c>
      <c r="J368" s="76" t="s">
        <v>72</v>
      </c>
      <c r="K368" s="76" t="b">
        <v>1</v>
      </c>
      <c r="L368" s="72">
        <v>2013</v>
      </c>
      <c r="M368" s="73">
        <v>0.1365</v>
      </c>
      <c r="N368" s="77">
        <v>41222</v>
      </c>
      <c r="O368" s="77">
        <v>41275</v>
      </c>
    </row>
    <row r="369" spans="1:15" ht="14.25">
      <c r="A369" s="74">
        <v>2013</v>
      </c>
      <c r="B369" s="75" t="s">
        <v>390</v>
      </c>
      <c r="C369" s="75" t="s">
        <v>391</v>
      </c>
      <c r="D369" s="76">
        <v>1425062</v>
      </c>
      <c r="E369" s="76">
        <v>2</v>
      </c>
      <c r="F369" s="76"/>
      <c r="G369" s="75">
        <v>400</v>
      </c>
      <c r="H369" s="75">
        <v>18</v>
      </c>
      <c r="I369" s="76" t="s">
        <v>410</v>
      </c>
      <c r="J369" s="76" t="s">
        <v>69</v>
      </c>
      <c r="K369" s="76" t="b">
        <v>0</v>
      </c>
      <c r="L369" s="72">
        <v>2019</v>
      </c>
      <c r="M369" s="73">
        <v>0.136</v>
      </c>
      <c r="N369" s="77">
        <v>41222</v>
      </c>
      <c r="O369" s="77">
        <v>41275</v>
      </c>
    </row>
    <row r="370" spans="1:15" ht="14.25">
      <c r="A370" s="74">
        <v>2013</v>
      </c>
      <c r="B370" s="75" t="s">
        <v>390</v>
      </c>
      <c r="C370" s="75" t="s">
        <v>391</v>
      </c>
      <c r="D370" s="76">
        <v>1425062</v>
      </c>
      <c r="E370" s="76">
        <v>2</v>
      </c>
      <c r="F370" s="76"/>
      <c r="G370" s="75">
        <v>200</v>
      </c>
      <c r="H370" s="75">
        <v>7</v>
      </c>
      <c r="I370" s="76" t="s">
        <v>411</v>
      </c>
      <c r="J370" s="76" t="s">
        <v>11</v>
      </c>
      <c r="K370" s="76" t="b">
        <v>1</v>
      </c>
      <c r="L370" s="72">
        <v>2019</v>
      </c>
      <c r="M370" s="73">
        <v>2570000</v>
      </c>
      <c r="N370" s="77">
        <v>41222</v>
      </c>
      <c r="O370" s="77">
        <v>41275</v>
      </c>
    </row>
    <row r="371" spans="1:15" ht="14.25">
      <c r="A371" s="74">
        <v>2013</v>
      </c>
      <c r="B371" s="75" t="s">
        <v>390</v>
      </c>
      <c r="C371" s="75" t="s">
        <v>391</v>
      </c>
      <c r="D371" s="76">
        <v>1425062</v>
      </c>
      <c r="E371" s="76">
        <v>2</v>
      </c>
      <c r="F371" s="76"/>
      <c r="G371" s="75">
        <v>240</v>
      </c>
      <c r="H371" s="75" t="s">
        <v>116</v>
      </c>
      <c r="I371" s="76"/>
      <c r="J371" s="76" t="s">
        <v>276</v>
      </c>
      <c r="K371" s="76" t="b">
        <v>1</v>
      </c>
      <c r="L371" s="72">
        <v>2013</v>
      </c>
      <c r="M371" s="73">
        <v>720000</v>
      </c>
      <c r="N371" s="77">
        <v>41222</v>
      </c>
      <c r="O371" s="77">
        <v>41275</v>
      </c>
    </row>
    <row r="372" spans="1:15" ht="14.25">
      <c r="A372" s="74">
        <v>2013</v>
      </c>
      <c r="B372" s="75" t="s">
        <v>390</v>
      </c>
      <c r="C372" s="75" t="s">
        <v>391</v>
      </c>
      <c r="D372" s="76">
        <v>1425062</v>
      </c>
      <c r="E372" s="76">
        <v>2</v>
      </c>
      <c r="F372" s="76"/>
      <c r="G372" s="75">
        <v>210</v>
      </c>
      <c r="H372" s="75" t="s">
        <v>112</v>
      </c>
      <c r="I372" s="76"/>
      <c r="J372" s="76" t="s">
        <v>274</v>
      </c>
      <c r="K372" s="76" t="b">
        <v>1</v>
      </c>
      <c r="L372" s="72">
        <v>2020</v>
      </c>
      <c r="M372" s="73">
        <v>500000</v>
      </c>
      <c r="N372" s="77">
        <v>41222</v>
      </c>
      <c r="O372" s="77">
        <v>41275</v>
      </c>
    </row>
    <row r="373" spans="1:15" ht="14.25">
      <c r="A373" s="74">
        <v>2013</v>
      </c>
      <c r="B373" s="75" t="s">
        <v>390</v>
      </c>
      <c r="C373" s="75" t="s">
        <v>391</v>
      </c>
      <c r="D373" s="76">
        <v>1425062</v>
      </c>
      <c r="E373" s="76">
        <v>2</v>
      </c>
      <c r="F373" s="76"/>
      <c r="G373" s="75">
        <v>11</v>
      </c>
      <c r="H373" s="75" t="s">
        <v>99</v>
      </c>
      <c r="I373" s="76"/>
      <c r="J373" s="76" t="s">
        <v>100</v>
      </c>
      <c r="K373" s="76" t="b">
        <v>0</v>
      </c>
      <c r="L373" s="72">
        <v>2019</v>
      </c>
      <c r="M373" s="73">
        <v>3520252</v>
      </c>
      <c r="N373" s="77">
        <v>41222</v>
      </c>
      <c r="O373" s="77">
        <v>41275</v>
      </c>
    </row>
    <row r="374" spans="1:15" ht="14.25">
      <c r="A374" s="74">
        <v>2013</v>
      </c>
      <c r="B374" s="75" t="s">
        <v>390</v>
      </c>
      <c r="C374" s="75" t="s">
        <v>391</v>
      </c>
      <c r="D374" s="76">
        <v>1425062</v>
      </c>
      <c r="E374" s="76">
        <v>2</v>
      </c>
      <c r="F374" s="76"/>
      <c r="G374" s="75">
        <v>420</v>
      </c>
      <c r="H374" s="75">
        <v>19</v>
      </c>
      <c r="I374" s="76" t="s">
        <v>396</v>
      </c>
      <c r="J374" s="76" t="s">
        <v>72</v>
      </c>
      <c r="K374" s="76" t="b">
        <v>1</v>
      </c>
      <c r="L374" s="72">
        <v>2016</v>
      </c>
      <c r="M374" s="73">
        <v>0.0584</v>
      </c>
      <c r="N374" s="77">
        <v>41222</v>
      </c>
      <c r="O374" s="77">
        <v>41275</v>
      </c>
    </row>
    <row r="375" spans="1:15" ht="14.25">
      <c r="A375" s="74">
        <v>2013</v>
      </c>
      <c r="B375" s="75" t="s">
        <v>390</v>
      </c>
      <c r="C375" s="75" t="s">
        <v>391</v>
      </c>
      <c r="D375" s="76">
        <v>1425062</v>
      </c>
      <c r="E375" s="76">
        <v>2</v>
      </c>
      <c r="F375" s="76"/>
      <c r="G375" s="75">
        <v>470</v>
      </c>
      <c r="H375" s="75" t="s">
        <v>132</v>
      </c>
      <c r="I375" s="76" t="s">
        <v>402</v>
      </c>
      <c r="J375" s="76" t="s">
        <v>289</v>
      </c>
      <c r="K375" s="76" t="b">
        <v>0</v>
      </c>
      <c r="L375" s="72">
        <v>2018</v>
      </c>
      <c r="M375" s="73">
        <v>40</v>
      </c>
      <c r="N375" s="77">
        <v>41222</v>
      </c>
      <c r="O375" s="77">
        <v>41275</v>
      </c>
    </row>
    <row r="376" spans="1:15" ht="14.25">
      <c r="A376" s="74">
        <v>2013</v>
      </c>
      <c r="B376" s="75" t="s">
        <v>390</v>
      </c>
      <c r="C376" s="75" t="s">
        <v>391</v>
      </c>
      <c r="D376" s="76">
        <v>1425062</v>
      </c>
      <c r="E376" s="76">
        <v>2</v>
      </c>
      <c r="F376" s="76"/>
      <c r="G376" s="75">
        <v>540</v>
      </c>
      <c r="H376" s="75">
        <v>27</v>
      </c>
      <c r="I376" s="76" t="s">
        <v>400</v>
      </c>
      <c r="J376" s="76" t="s">
        <v>45</v>
      </c>
      <c r="K376" s="76" t="b">
        <v>0</v>
      </c>
      <c r="L376" s="72">
        <v>2016</v>
      </c>
      <c r="M376" s="73">
        <v>33611274</v>
      </c>
      <c r="N376" s="77">
        <v>41222</v>
      </c>
      <c r="O376" s="77">
        <v>41275</v>
      </c>
    </row>
    <row r="377" spans="1:15" ht="14.25">
      <c r="A377" s="74">
        <v>2013</v>
      </c>
      <c r="B377" s="75" t="s">
        <v>390</v>
      </c>
      <c r="C377" s="75" t="s">
        <v>391</v>
      </c>
      <c r="D377" s="76">
        <v>1425062</v>
      </c>
      <c r="E377" s="76">
        <v>2</v>
      </c>
      <c r="F377" s="76"/>
      <c r="G377" s="75">
        <v>1</v>
      </c>
      <c r="H377" s="75">
        <v>1</v>
      </c>
      <c r="I377" s="76" t="s">
        <v>401</v>
      </c>
      <c r="J377" s="76" t="s">
        <v>91</v>
      </c>
      <c r="K377" s="76" t="b">
        <v>1</v>
      </c>
      <c r="L377" s="72">
        <v>2013</v>
      </c>
      <c r="M377" s="73">
        <v>32171429</v>
      </c>
      <c r="N377" s="77">
        <v>41222</v>
      </c>
      <c r="O377" s="77">
        <v>41275</v>
      </c>
    </row>
    <row r="378" spans="1:15" ht="14.25">
      <c r="A378" s="74">
        <v>2013</v>
      </c>
      <c r="B378" s="75" t="s">
        <v>390</v>
      </c>
      <c r="C378" s="75" t="s">
        <v>391</v>
      </c>
      <c r="D378" s="76">
        <v>1425062</v>
      </c>
      <c r="E378" s="76">
        <v>2</v>
      </c>
      <c r="F378" s="76"/>
      <c r="G378" s="75">
        <v>160</v>
      </c>
      <c r="H378" s="75">
        <v>3</v>
      </c>
      <c r="I378" s="76" t="s">
        <v>406</v>
      </c>
      <c r="J378" s="76" t="s">
        <v>107</v>
      </c>
      <c r="K378" s="76" t="b">
        <v>1</v>
      </c>
      <c r="L378" s="72">
        <v>2021</v>
      </c>
      <c r="M378" s="73">
        <v>3592847</v>
      </c>
      <c r="N378" s="77">
        <v>41222</v>
      </c>
      <c r="O378" s="77">
        <v>41275</v>
      </c>
    </row>
    <row r="379" spans="1:15" ht="14.25">
      <c r="A379" s="74">
        <v>2013</v>
      </c>
      <c r="B379" s="75" t="s">
        <v>390</v>
      </c>
      <c r="C379" s="75" t="s">
        <v>391</v>
      </c>
      <c r="D379" s="76">
        <v>1425062</v>
      </c>
      <c r="E379" s="76">
        <v>2</v>
      </c>
      <c r="F379" s="76"/>
      <c r="G379" s="75">
        <v>4</v>
      </c>
      <c r="H379" s="75" t="s">
        <v>93</v>
      </c>
      <c r="I379" s="76"/>
      <c r="J379" s="76" t="s">
        <v>267</v>
      </c>
      <c r="K379" s="76" t="b">
        <v>1</v>
      </c>
      <c r="L379" s="72">
        <v>2014</v>
      </c>
      <c r="M379" s="73">
        <v>179000</v>
      </c>
      <c r="N379" s="77">
        <v>41222</v>
      </c>
      <c r="O379" s="77">
        <v>41275</v>
      </c>
    </row>
    <row r="380" spans="1:15" ht="14.25">
      <c r="A380" s="74">
        <v>2013</v>
      </c>
      <c r="B380" s="75" t="s">
        <v>390</v>
      </c>
      <c r="C380" s="75" t="s">
        <v>391</v>
      </c>
      <c r="D380" s="76">
        <v>1425062</v>
      </c>
      <c r="E380" s="76">
        <v>2</v>
      </c>
      <c r="F380" s="76"/>
      <c r="G380" s="75">
        <v>280</v>
      </c>
      <c r="H380" s="75" t="s">
        <v>119</v>
      </c>
      <c r="I380" s="76"/>
      <c r="J380" s="76" t="s">
        <v>120</v>
      </c>
      <c r="K380" s="76" t="b">
        <v>0</v>
      </c>
      <c r="L380" s="72">
        <v>2017</v>
      </c>
      <c r="M380" s="73">
        <v>1000000</v>
      </c>
      <c r="N380" s="77">
        <v>41222</v>
      </c>
      <c r="O380" s="77">
        <v>41275</v>
      </c>
    </row>
    <row r="381" spans="1:15" ht="14.25">
      <c r="A381" s="74">
        <v>2013</v>
      </c>
      <c r="B381" s="75" t="s">
        <v>390</v>
      </c>
      <c r="C381" s="75" t="s">
        <v>391</v>
      </c>
      <c r="D381" s="76">
        <v>1425062</v>
      </c>
      <c r="E381" s="76">
        <v>2</v>
      </c>
      <c r="F381" s="76"/>
      <c r="G381" s="75">
        <v>510</v>
      </c>
      <c r="H381" s="75">
        <v>24</v>
      </c>
      <c r="I381" s="76" t="s">
        <v>407</v>
      </c>
      <c r="J381" s="76" t="s">
        <v>294</v>
      </c>
      <c r="K381" s="76" t="b">
        <v>1</v>
      </c>
      <c r="L381" s="72">
        <v>2019</v>
      </c>
      <c r="M381" s="73">
        <v>31702291</v>
      </c>
      <c r="N381" s="77">
        <v>41222</v>
      </c>
      <c r="O381" s="77">
        <v>41275</v>
      </c>
    </row>
    <row r="382" spans="1:15" ht="14.25">
      <c r="A382" s="74">
        <v>2013</v>
      </c>
      <c r="B382" s="75" t="s">
        <v>390</v>
      </c>
      <c r="C382" s="75" t="s">
        <v>391</v>
      </c>
      <c r="D382" s="76">
        <v>1425062</v>
      </c>
      <c r="E382" s="76">
        <v>2</v>
      </c>
      <c r="F382" s="76"/>
      <c r="G382" s="75">
        <v>240</v>
      </c>
      <c r="H382" s="75" t="s">
        <v>116</v>
      </c>
      <c r="I382" s="76"/>
      <c r="J382" s="76" t="s">
        <v>276</v>
      </c>
      <c r="K382" s="76" t="b">
        <v>1</v>
      </c>
      <c r="L382" s="72">
        <v>2022</v>
      </c>
      <c r="M382" s="73">
        <v>120000</v>
      </c>
      <c r="N382" s="77">
        <v>41222</v>
      </c>
      <c r="O382" s="77">
        <v>41275</v>
      </c>
    </row>
    <row r="383" spans="1:15" ht="14.25">
      <c r="A383" s="74">
        <v>2013</v>
      </c>
      <c r="B383" s="75" t="s">
        <v>390</v>
      </c>
      <c r="C383" s="75" t="s">
        <v>391</v>
      </c>
      <c r="D383" s="76">
        <v>1425062</v>
      </c>
      <c r="E383" s="76">
        <v>2</v>
      </c>
      <c r="F383" s="76"/>
      <c r="G383" s="75">
        <v>5</v>
      </c>
      <c r="H383" s="75" t="s">
        <v>94</v>
      </c>
      <c r="I383" s="76"/>
      <c r="J383" s="76" t="s">
        <v>268</v>
      </c>
      <c r="K383" s="76" t="b">
        <v>1</v>
      </c>
      <c r="L383" s="72">
        <v>2014</v>
      </c>
      <c r="M383" s="73">
        <v>668828</v>
      </c>
      <c r="N383" s="77">
        <v>41222</v>
      </c>
      <c r="O383" s="77">
        <v>41275</v>
      </c>
    </row>
    <row r="384" spans="1:15" ht="14.25">
      <c r="A384" s="74">
        <v>2013</v>
      </c>
      <c r="B384" s="75" t="s">
        <v>390</v>
      </c>
      <c r="C384" s="75" t="s">
        <v>391</v>
      </c>
      <c r="D384" s="76">
        <v>1425062</v>
      </c>
      <c r="E384" s="76">
        <v>2</v>
      </c>
      <c r="F384" s="76"/>
      <c r="G384" s="75">
        <v>2</v>
      </c>
      <c r="H384" s="75" t="s">
        <v>92</v>
      </c>
      <c r="I384" s="76"/>
      <c r="J384" s="76" t="s">
        <v>266</v>
      </c>
      <c r="K384" s="76" t="b">
        <v>1</v>
      </c>
      <c r="L384" s="72">
        <v>2018</v>
      </c>
      <c r="M384" s="73">
        <v>33878223</v>
      </c>
      <c r="N384" s="77">
        <v>41222</v>
      </c>
      <c r="O384" s="77">
        <v>41275</v>
      </c>
    </row>
    <row r="385" spans="1:15" ht="14.25">
      <c r="A385" s="74">
        <v>2013</v>
      </c>
      <c r="B385" s="75" t="s">
        <v>390</v>
      </c>
      <c r="C385" s="75" t="s">
        <v>391</v>
      </c>
      <c r="D385" s="76">
        <v>1425062</v>
      </c>
      <c r="E385" s="76">
        <v>2</v>
      </c>
      <c r="F385" s="76"/>
      <c r="G385" s="75">
        <v>240</v>
      </c>
      <c r="H385" s="75" t="s">
        <v>116</v>
      </c>
      <c r="I385" s="76"/>
      <c r="J385" s="76" t="s">
        <v>276</v>
      </c>
      <c r="K385" s="76" t="b">
        <v>1</v>
      </c>
      <c r="L385" s="72">
        <v>2020</v>
      </c>
      <c r="M385" s="73">
        <v>216400</v>
      </c>
      <c r="N385" s="77">
        <v>41222</v>
      </c>
      <c r="O385" s="77">
        <v>41275</v>
      </c>
    </row>
    <row r="386" spans="1:15" ht="14.25">
      <c r="A386" s="74">
        <v>2013</v>
      </c>
      <c r="B386" s="75" t="s">
        <v>390</v>
      </c>
      <c r="C386" s="75" t="s">
        <v>391</v>
      </c>
      <c r="D386" s="76">
        <v>1425062</v>
      </c>
      <c r="E386" s="76">
        <v>2</v>
      </c>
      <c r="F386" s="76"/>
      <c r="G386" s="75">
        <v>10</v>
      </c>
      <c r="H386" s="75" t="s">
        <v>97</v>
      </c>
      <c r="I386" s="76"/>
      <c r="J386" s="76" t="s">
        <v>98</v>
      </c>
      <c r="K386" s="76" t="b">
        <v>0</v>
      </c>
      <c r="L386" s="72">
        <v>2021</v>
      </c>
      <c r="M386" s="73">
        <v>18456241</v>
      </c>
      <c r="N386" s="77">
        <v>41222</v>
      </c>
      <c r="O386" s="77">
        <v>41275</v>
      </c>
    </row>
    <row r="387" spans="1:15" ht="14.25">
      <c r="A387" s="74">
        <v>2013</v>
      </c>
      <c r="B387" s="75" t="s">
        <v>390</v>
      </c>
      <c r="C387" s="75" t="s">
        <v>391</v>
      </c>
      <c r="D387" s="76">
        <v>1425062</v>
      </c>
      <c r="E387" s="76">
        <v>2</v>
      </c>
      <c r="F387" s="76"/>
      <c r="G387" s="75">
        <v>10</v>
      </c>
      <c r="H387" s="75" t="s">
        <v>97</v>
      </c>
      <c r="I387" s="76"/>
      <c r="J387" s="76" t="s">
        <v>98</v>
      </c>
      <c r="K387" s="76" t="b">
        <v>0</v>
      </c>
      <c r="L387" s="72">
        <v>2022</v>
      </c>
      <c r="M387" s="73">
        <v>18880734</v>
      </c>
      <c r="N387" s="77">
        <v>41222</v>
      </c>
      <c r="O387" s="77">
        <v>41275</v>
      </c>
    </row>
    <row r="388" spans="1:15" ht="14.25">
      <c r="A388" s="74">
        <v>2013</v>
      </c>
      <c r="B388" s="75" t="s">
        <v>390</v>
      </c>
      <c r="C388" s="75" t="s">
        <v>391</v>
      </c>
      <c r="D388" s="76">
        <v>1425062</v>
      </c>
      <c r="E388" s="76">
        <v>2</v>
      </c>
      <c r="F388" s="76"/>
      <c r="G388" s="75">
        <v>300</v>
      </c>
      <c r="H388" s="75">
        <v>11</v>
      </c>
      <c r="I388" s="76"/>
      <c r="J388" s="76" t="s">
        <v>62</v>
      </c>
      <c r="K388" s="76" t="b">
        <v>1</v>
      </c>
      <c r="L388" s="72">
        <v>2015</v>
      </c>
      <c r="M388" s="73">
        <v>985634</v>
      </c>
      <c r="N388" s="77">
        <v>41222</v>
      </c>
      <c r="O388" s="77">
        <v>41275</v>
      </c>
    </row>
    <row r="389" spans="1:15" ht="14.25">
      <c r="A389" s="74">
        <v>2013</v>
      </c>
      <c r="B389" s="75" t="s">
        <v>390</v>
      </c>
      <c r="C389" s="75" t="s">
        <v>391</v>
      </c>
      <c r="D389" s="76">
        <v>1425062</v>
      </c>
      <c r="E389" s="76">
        <v>2</v>
      </c>
      <c r="F389" s="76"/>
      <c r="G389" s="75">
        <v>160</v>
      </c>
      <c r="H389" s="75">
        <v>3</v>
      </c>
      <c r="I389" s="76" t="s">
        <v>406</v>
      </c>
      <c r="J389" s="76" t="s">
        <v>107</v>
      </c>
      <c r="K389" s="76" t="b">
        <v>1</v>
      </c>
      <c r="L389" s="72">
        <v>2013</v>
      </c>
      <c r="M389" s="73">
        <v>5971063</v>
      </c>
      <c r="N389" s="77">
        <v>41222</v>
      </c>
      <c r="O389" s="77">
        <v>41275</v>
      </c>
    </row>
    <row r="390" spans="1:15" ht="14.25">
      <c r="A390" s="74">
        <v>2013</v>
      </c>
      <c r="B390" s="75" t="s">
        <v>390</v>
      </c>
      <c r="C390" s="75" t="s">
        <v>391</v>
      </c>
      <c r="D390" s="76">
        <v>1425062</v>
      </c>
      <c r="E390" s="76">
        <v>2</v>
      </c>
      <c r="F390" s="76"/>
      <c r="G390" s="75">
        <v>7</v>
      </c>
      <c r="H390" s="75" t="s">
        <v>246</v>
      </c>
      <c r="I390" s="76"/>
      <c r="J390" s="76" t="s">
        <v>247</v>
      </c>
      <c r="K390" s="76" t="b">
        <v>1</v>
      </c>
      <c r="L390" s="72">
        <v>2014</v>
      </c>
      <c r="M390" s="73">
        <v>668828</v>
      </c>
      <c r="N390" s="77">
        <v>41222</v>
      </c>
      <c r="O390" s="77">
        <v>41275</v>
      </c>
    </row>
    <row r="391" spans="1:15" ht="14.25">
      <c r="A391" s="74">
        <v>2013</v>
      </c>
      <c r="B391" s="75" t="s">
        <v>390</v>
      </c>
      <c r="C391" s="75" t="s">
        <v>391</v>
      </c>
      <c r="D391" s="76">
        <v>1425062</v>
      </c>
      <c r="E391" s="76">
        <v>2</v>
      </c>
      <c r="F391" s="76"/>
      <c r="G391" s="75">
        <v>500</v>
      </c>
      <c r="H391" s="75">
        <v>23</v>
      </c>
      <c r="I391" s="76" t="s">
        <v>414</v>
      </c>
      <c r="J391" s="76" t="s">
        <v>59</v>
      </c>
      <c r="K391" s="76" t="b">
        <v>1</v>
      </c>
      <c r="L391" s="72">
        <v>2014</v>
      </c>
      <c r="M391" s="73">
        <v>30568535</v>
      </c>
      <c r="N391" s="77">
        <v>41222</v>
      </c>
      <c r="O391" s="77">
        <v>41275</v>
      </c>
    </row>
    <row r="392" spans="1:15" ht="14.25">
      <c r="A392" s="74">
        <v>2013</v>
      </c>
      <c r="B392" s="75" t="s">
        <v>390</v>
      </c>
      <c r="C392" s="75" t="s">
        <v>391</v>
      </c>
      <c r="D392" s="76">
        <v>1425062</v>
      </c>
      <c r="E392" s="76">
        <v>2</v>
      </c>
      <c r="F392" s="76"/>
      <c r="G392" s="75">
        <v>450</v>
      </c>
      <c r="H392" s="75" t="s">
        <v>131</v>
      </c>
      <c r="I392" s="76" t="s">
        <v>394</v>
      </c>
      <c r="J392" s="76" t="s">
        <v>52</v>
      </c>
      <c r="K392" s="76" t="b">
        <v>0</v>
      </c>
      <c r="L392" s="72">
        <v>2020</v>
      </c>
      <c r="M392" s="73">
        <v>0.0795</v>
      </c>
      <c r="N392" s="77">
        <v>41222</v>
      </c>
      <c r="O392" s="77">
        <v>41275</v>
      </c>
    </row>
    <row r="393" spans="1:15" ht="14.25">
      <c r="A393" s="74">
        <v>2013</v>
      </c>
      <c r="B393" s="75" t="s">
        <v>390</v>
      </c>
      <c r="C393" s="75" t="s">
        <v>391</v>
      </c>
      <c r="D393" s="76">
        <v>1425062</v>
      </c>
      <c r="E393" s="76">
        <v>2</v>
      </c>
      <c r="F393" s="76"/>
      <c r="G393" s="75">
        <v>200</v>
      </c>
      <c r="H393" s="75">
        <v>7</v>
      </c>
      <c r="I393" s="76" t="s">
        <v>411</v>
      </c>
      <c r="J393" s="76" t="s">
        <v>11</v>
      </c>
      <c r="K393" s="76" t="b">
        <v>1</v>
      </c>
      <c r="L393" s="72">
        <v>2015</v>
      </c>
      <c r="M393" s="73">
        <v>1936900</v>
      </c>
      <c r="N393" s="77">
        <v>41222</v>
      </c>
      <c r="O393" s="77">
        <v>41275</v>
      </c>
    </row>
    <row r="394" spans="1:15" ht="14.25">
      <c r="A394" s="74">
        <v>2013</v>
      </c>
      <c r="B394" s="75" t="s">
        <v>390</v>
      </c>
      <c r="C394" s="75" t="s">
        <v>391</v>
      </c>
      <c r="D394" s="76">
        <v>1425062</v>
      </c>
      <c r="E394" s="76">
        <v>2</v>
      </c>
      <c r="F394" s="76"/>
      <c r="G394" s="75">
        <v>2</v>
      </c>
      <c r="H394" s="75" t="s">
        <v>92</v>
      </c>
      <c r="I394" s="76"/>
      <c r="J394" s="76" t="s">
        <v>266</v>
      </c>
      <c r="K394" s="76" t="b">
        <v>1</v>
      </c>
      <c r="L394" s="72">
        <v>2017</v>
      </c>
      <c r="M394" s="73">
        <v>32550241</v>
      </c>
      <c r="N394" s="77">
        <v>41222</v>
      </c>
      <c r="O394" s="77">
        <v>41275</v>
      </c>
    </row>
    <row r="395" spans="1:15" ht="14.25">
      <c r="A395" s="74">
        <v>2013</v>
      </c>
      <c r="B395" s="75" t="s">
        <v>390</v>
      </c>
      <c r="C395" s="75" t="s">
        <v>391</v>
      </c>
      <c r="D395" s="76">
        <v>1425062</v>
      </c>
      <c r="E395" s="76">
        <v>2</v>
      </c>
      <c r="F395" s="76"/>
      <c r="G395" s="75">
        <v>480</v>
      </c>
      <c r="H395" s="75">
        <v>22</v>
      </c>
      <c r="I395" s="76" t="s">
        <v>412</v>
      </c>
      <c r="J395" s="76" t="s">
        <v>291</v>
      </c>
      <c r="K395" s="76" t="b">
        <v>0</v>
      </c>
      <c r="L395" s="72">
        <v>2017</v>
      </c>
      <c r="M395" s="73">
        <v>0.0618</v>
      </c>
      <c r="N395" s="77">
        <v>41222</v>
      </c>
      <c r="O395" s="77">
        <v>41275</v>
      </c>
    </row>
    <row r="396" spans="1:15" ht="14.25">
      <c r="A396" s="74">
        <v>2013</v>
      </c>
      <c r="B396" s="75" t="s">
        <v>390</v>
      </c>
      <c r="C396" s="75" t="s">
        <v>391</v>
      </c>
      <c r="D396" s="76">
        <v>1425062</v>
      </c>
      <c r="E396" s="76">
        <v>2</v>
      </c>
      <c r="F396" s="76"/>
      <c r="G396" s="75">
        <v>8</v>
      </c>
      <c r="H396" s="75" t="s">
        <v>96</v>
      </c>
      <c r="I396" s="76"/>
      <c r="J396" s="76" t="s">
        <v>248</v>
      </c>
      <c r="K396" s="76" t="b">
        <v>1</v>
      </c>
      <c r="L396" s="72">
        <v>2013</v>
      </c>
      <c r="M396" s="73">
        <v>1452017</v>
      </c>
      <c r="N396" s="77">
        <v>41222</v>
      </c>
      <c r="O396" s="77">
        <v>41275</v>
      </c>
    </row>
    <row r="397" spans="1:15" ht="14.25">
      <c r="A397" s="74">
        <v>2013</v>
      </c>
      <c r="B397" s="75" t="s">
        <v>390</v>
      </c>
      <c r="C397" s="75" t="s">
        <v>391</v>
      </c>
      <c r="D397" s="76">
        <v>1425062</v>
      </c>
      <c r="E397" s="76">
        <v>2</v>
      </c>
      <c r="F397" s="76"/>
      <c r="G397" s="75">
        <v>491</v>
      </c>
      <c r="H397" s="75" t="s">
        <v>264</v>
      </c>
      <c r="I397" s="76" t="s">
        <v>397</v>
      </c>
      <c r="J397" s="76" t="s">
        <v>293</v>
      </c>
      <c r="K397" s="76" t="b">
        <v>0</v>
      </c>
      <c r="L397" s="72">
        <v>2017</v>
      </c>
      <c r="M397" s="73">
        <v>162</v>
      </c>
      <c r="N397" s="77">
        <v>41222</v>
      </c>
      <c r="O397" s="77">
        <v>41275</v>
      </c>
    </row>
    <row r="398" spans="1:15" ht="14.25">
      <c r="A398" s="74">
        <v>2013</v>
      </c>
      <c r="B398" s="75" t="s">
        <v>390</v>
      </c>
      <c r="C398" s="75" t="s">
        <v>391</v>
      </c>
      <c r="D398" s="76">
        <v>1425062</v>
      </c>
      <c r="E398" s="76">
        <v>2</v>
      </c>
      <c r="F398" s="76"/>
      <c r="G398" s="75">
        <v>440</v>
      </c>
      <c r="H398" s="75">
        <v>20</v>
      </c>
      <c r="I398" s="76" t="s">
        <v>403</v>
      </c>
      <c r="J398" s="76" t="s">
        <v>130</v>
      </c>
      <c r="K398" s="76" t="b">
        <v>1</v>
      </c>
      <c r="L398" s="72">
        <v>2021</v>
      </c>
      <c r="M398" s="73">
        <v>0.0935</v>
      </c>
      <c r="N398" s="77">
        <v>41222</v>
      </c>
      <c r="O398" s="77">
        <v>41275</v>
      </c>
    </row>
    <row r="399" spans="1:15" ht="14.25">
      <c r="A399" s="74">
        <v>2013</v>
      </c>
      <c r="B399" s="75" t="s">
        <v>390</v>
      </c>
      <c r="C399" s="75" t="s">
        <v>391</v>
      </c>
      <c r="D399" s="76">
        <v>1425062</v>
      </c>
      <c r="E399" s="76">
        <v>2</v>
      </c>
      <c r="F399" s="76"/>
      <c r="G399" s="75">
        <v>510</v>
      </c>
      <c r="H399" s="75">
        <v>24</v>
      </c>
      <c r="I399" s="76" t="s">
        <v>407</v>
      </c>
      <c r="J399" s="76" t="s">
        <v>294</v>
      </c>
      <c r="K399" s="76" t="b">
        <v>1</v>
      </c>
      <c r="L399" s="72">
        <v>2016</v>
      </c>
      <c r="M399" s="73">
        <v>29508344</v>
      </c>
      <c r="N399" s="77">
        <v>41222</v>
      </c>
      <c r="O399" s="77">
        <v>41275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adm</cp:lastModifiedBy>
  <cp:lastPrinted>2012-11-14T12:16:26Z</cp:lastPrinted>
  <dcterms:created xsi:type="dcterms:W3CDTF">2010-09-17T02:30:46Z</dcterms:created>
  <dcterms:modified xsi:type="dcterms:W3CDTF">2012-12-20T07:33:19Z</dcterms:modified>
  <cp:category/>
  <cp:version/>
  <cp:contentType/>
  <cp:contentStatus/>
</cp:coreProperties>
</file>