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firstSheet="1" activeTab="1"/>
  </bookViews>
  <sheets>
    <sheet name="Zal_1_WPF_uklad_budzetu" sheetId="1" state="hidden" r:id="rId1"/>
    <sheet name="Zal_1_WPF_wg_przeplywow" sheetId="2" r:id="rId2"/>
    <sheet name="definicja" sheetId="3" state="hidden" r:id="rId3"/>
    <sheet name="AnalizaWsk243" sheetId="4" state="hidden" r:id="rId4"/>
    <sheet name="DaneZrodlowe" sheetId="5" state="hidden" r:id="rId5"/>
  </sheets>
  <definedNames>
    <definedName name="_xlnm.Print_Area" localSheetId="3">'AnalizaWsk243'!$B$7:$AQ$27</definedName>
    <definedName name="_xlnm.Print_Area" localSheetId="0">'Zal_1_WPF_uklad_budzetu'!$A$6:$AO$60</definedName>
    <definedName name="_xlnm.Print_Area" localSheetId="1">'Zal_1_WPF_wg_przeplywow'!$A$6:$M$69</definedName>
    <definedName name="_xlnm.Print_Titles" localSheetId="3">'AnalizaWsk243'!$A:$A,'AnalizaWsk243'!$2:$6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<sst xmlns="http://schemas.openxmlformats.org/spreadsheetml/2006/main" count="2051" uniqueCount="261">
  <si>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</si>
  <si>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</si>
  <si>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</si>
  <si>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</si>
  <si>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</si>
  <si>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</si>
  <si>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</si>
  <si>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</si>
  <si>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</si>
  <si>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</si>
  <si>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</si>
  <si>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</si>
  <si>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</si>
  <si>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</si>
  <si>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</si>
  <si>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</si>
  <si>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</si>
  <si>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</si>
  <si>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</si>
  <si>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</si>
  <si>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</si>
  <si>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</si>
  <si>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</si>
  <si>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</si>
  <si>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</si>
  <si>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</si>
  <si>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</si>
  <si>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</si>
  <si>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</si>
  <si>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</si>
  <si>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</si>
  <si>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</si>
  <si>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</si>
  <si>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</si>
  <si>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</si>
  <si>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</si>
  <si>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</si>
  <si>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</si>
  <si>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</si>
  <si>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</si>
  <si>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</si>
  <si>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</si>
  <si>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</si>
  <si>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</si>
  <si>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</si>
  <si>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</si>
  <si>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</si>
  <si>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</si>
  <si>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</si>
  <si>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</si>
  <si>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</si>
  <si>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</si>
  <si>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</si>
  <si>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</si>
  <si>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</si>
  <si>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</si>
  <si>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</si>
  <si>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</si>
  <si>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</si>
  <si>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</si>
  <si>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</si>
  <si>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</si>
  <si>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</si>
  <si>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</si>
  <si>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</si>
  <si>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</si>
  <si>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</si>
  <si>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</si>
  <si>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</si>
  <si>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</si>
  <si>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</si>
  <si>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</si>
  <si>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</si>
  <si>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</si>
  <si>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</si>
  <si>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</si>
  <si>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</si>
  <si>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</si>
  <si>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</si>
  <si>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</si>
  <si>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</si>
  <si>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</si>
  <si>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</si>
  <si>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</si>
  <si>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</si>
  <si>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</si>
  <si>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</si>
  <si>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</si>
  <si>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</si>
  <si>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</si>
  <si>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</si>
  <si>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</si>
  <si>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</si>
  <si>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</si>
  <si>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</si>
  <si>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</si>
  <si>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</si>
  <si>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</si>
  <si>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</si>
  <si>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</si>
  <si>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</si>
  <si>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</si>
  <si>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</si>
  <si>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</si>
  <si>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</si>
  <si>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</si>
  <si>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</si>
  <si>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</si>
  <si>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</si>
  <si>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</si>
  <si>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</si>
  <si>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</si>
  <si>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</si>
  <si>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</si>
  <si>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</si>
  <si>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</si>
  <si>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</si>
  <si>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</si>
  <si>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</si>
  <si>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</si>
  <si>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</si>
  <si>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</si>
  <si>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</si>
  <si>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</si>
  <si>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</si>
  <si>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</si>
  <si>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</si>
  <si>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</si>
  <si>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</si>
  <si>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</si>
  <si>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</si>
  <si>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</si>
  <si>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</si>
  <si>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</si>
  <si>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</si>
  <si>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</si>
  <si>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</si>
  <si>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</si>
  <si>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</si>
  <si>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</si>
  <si>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</si>
  <si>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</si>
  <si>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</si>
  <si>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</si>
  <si>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</si>
  <si>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</si>
  <si>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</si>
  <si>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</si>
  <si>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</si>
  <si>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</si>
  <si>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</si>
  <si>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</si>
  <si>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</si>
  <si>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</si>
  <si>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</si>
  <si>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</si>
  <si>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</si>
  <si>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</si>
  <si>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</si>
  <si>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</si>
  <si>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</si>
  <si>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</si>
  <si>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</si>
  <si>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</si>
  <si>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</si>
  <si>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</si>
  <si>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</si>
  <si>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</si>
  <si>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</si>
  <si>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</si>
  <si>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</si>
  <si>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</si>
  <si>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</si>
  <si>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</si>
  <si>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</si>
  <si>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</si>
  <si>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</si>
  <si>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</si>
  <si>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</si>
  <si>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</si>
  <si>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</si>
  <si>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</si>
  <si>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</si>
  <si>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</si>
  <si>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</si>
  <si>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</si>
  <si>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</si>
  <si>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</si>
  <si>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</si>
  <si>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</si>
  <si>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</si>
  <si>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</si>
  <si>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</si>
  <si>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</si>
  <si>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</si>
  <si>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</si>
  <si>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</si>
  <si>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</si>
  <si>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</si>
  <si>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</si>
  <si>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</si>
  <si>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</si>
  <si>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</si>
  <si>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</si>
  <si>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</si>
  <si>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</si>
  <si>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</si>
  <si>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</si>
  <si>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</si>
  <si>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</si>
  <si>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</si>
  <si>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</si>
  <si>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</si>
  <si>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</si>
  <si>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</si>
  <si>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</si>
  <si>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</si>
  <si>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</si>
  <si>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</si>
  <si>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</si>
  <si>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</si>
  <si>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</si>
  <si>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</si>
  <si>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</si>
  <si>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</si>
  <si>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</si>
  <si>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</si>
  <si>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</si>
  <si>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</si>
  <si>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</si>
  <si>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</si>
  <si>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</si>
  <si>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</si>
  <si>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</si>
  <si>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</si>
  <si>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</si>
  <si>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XXIV/125/2012</t>
  </si>
  <si>
    <t>JEDLNIA-LETNISKO</t>
  </si>
  <si>
    <t>[20]</t>
  </si>
  <si>
    <t>[1]</t>
  </si>
  <si>
    <t>[7a]+[8]</t>
  </si>
  <si>
    <t>[10]+[24]</t>
  </si>
  <si>
    <t>([7a]+[7b1]+[2c]+[15]-[2d]-[7a1])/[1]</t>
  </si>
  <si>
    <t>[1]-[2]</t>
  </si>
  <si>
    <t>[20a]-[21]</t>
  </si>
  <si>
    <t xml:space="preserve"> ([1a]-[24]+[1c])/[1]</t>
  </si>
  <si>
    <t>[2]+[7b]</t>
  </si>
  <si>
    <t>([7a]+[7b1]+[2c])/[1]</t>
  </si>
  <si>
    <t>[20a]-[22]</t>
  </si>
  <si>
    <t>([7a]+[7b1]+[2c]+[15])/[1]</t>
  </si>
  <si>
    <t>[4]+[5]+[11]</t>
  </si>
  <si>
    <t>[3]+[4]+[5]</t>
  </si>
  <si>
    <t>[1a]+[1b]</t>
  </si>
  <si>
    <t>([7a]+[7b1]+[2c]-[2d]-[7a1])/[1]</t>
  </si>
  <si>
    <t>[23]-[24]</t>
  </si>
  <si>
    <t>[1a]</t>
  </si>
  <si>
    <t>([13]-[14])/[1]</t>
  </si>
  <si>
    <t>[26]-[27]</t>
  </si>
  <si>
    <t>([13])/[1]</t>
  </si>
  <si>
    <t>[7a]+[7b]</t>
  </si>
  <si>
    <t>[6]-[7]-[8]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</si>
</sst>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20" borderId="0" applyNumberFormat="0" applyBorder="0" applyAlignment="0" applyProtection="0"/>
    <xf numFmtId="0" fontId="41" fillId="21" borderId="0" applyNumberFormat="0" applyBorder="0" applyAlignment="0" applyProtection="0"/>
    <xf numFmtId="0" fontId="17" fillId="13" borderId="0" applyNumberFormat="0" applyBorder="0" applyAlignment="0" applyProtection="0"/>
    <xf numFmtId="0" fontId="41" fillId="14" borderId="0" applyNumberFormat="0" applyBorder="0" applyAlignment="0" applyProtection="0"/>
    <xf numFmtId="0" fontId="17" fillId="14" borderId="0" applyNumberFormat="0" applyBorder="0" applyAlignment="0" applyProtection="0"/>
    <xf numFmtId="0" fontId="41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24" borderId="0" applyNumberFormat="0" applyBorder="0" applyAlignment="0" applyProtection="0"/>
    <xf numFmtId="0" fontId="41" fillId="25" borderId="0" applyNumberFormat="0" applyBorder="0" applyAlignment="0" applyProtection="0"/>
    <xf numFmtId="0" fontId="17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7" borderId="0" applyNumberFormat="0" applyBorder="0" applyAlignment="0" applyProtection="0"/>
    <xf numFmtId="0" fontId="41" fillId="28" borderId="0" applyNumberFormat="0" applyBorder="0" applyAlignment="0" applyProtection="0"/>
    <xf numFmtId="0" fontId="17" fillId="29" borderId="0" applyNumberFormat="0" applyBorder="0" applyAlignment="0" applyProtection="0"/>
    <xf numFmtId="0" fontId="41" fillId="30" borderId="0" applyNumberFormat="0" applyBorder="0" applyAlignment="0" applyProtection="0"/>
    <xf numFmtId="0" fontId="17" fillId="31" borderId="0" applyNumberFormat="0" applyBorder="0" applyAlignment="0" applyProtection="0"/>
    <xf numFmtId="0" fontId="41" fillId="32" borderId="0" applyNumberFormat="0" applyBorder="0" applyAlignment="0" applyProtection="0"/>
    <xf numFmtId="0" fontId="17" fillId="22" borderId="0" applyNumberFormat="0" applyBorder="0" applyAlignment="0" applyProtection="0"/>
    <xf numFmtId="0" fontId="41" fillId="33" borderId="0" applyNumberFormat="0" applyBorder="0" applyAlignment="0" applyProtection="0"/>
    <xf numFmtId="0" fontId="17" fillId="24" borderId="0" applyNumberFormat="0" applyBorder="0" applyAlignment="0" applyProtection="0"/>
    <xf numFmtId="0" fontId="41" fillId="34" borderId="0" applyNumberFormat="0" applyBorder="0" applyAlignment="0" applyProtection="0"/>
    <xf numFmtId="0" fontId="17" fillId="35" borderId="0" applyNumberFormat="0" applyBorder="0" applyAlignment="0" applyProtection="0"/>
    <xf numFmtId="0" fontId="42" fillId="36" borderId="1" applyNumberFormat="0" applyAlignment="0" applyProtection="0"/>
    <xf numFmtId="0" fontId="18" fillId="9" borderId="2" applyNumberFormat="0" applyAlignment="0" applyProtection="0"/>
    <xf numFmtId="0" fontId="43" fillId="37" borderId="3" applyNumberFormat="0" applyAlignment="0" applyProtection="0"/>
    <xf numFmtId="0" fontId="19" fillId="38" borderId="4" applyNumberFormat="0" applyAlignment="0" applyProtection="0"/>
    <xf numFmtId="0" fontId="44" fillId="39" borderId="0" applyNumberFormat="0" applyBorder="0" applyAlignment="0" applyProtection="0"/>
    <xf numFmtId="0" fontId="20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21" fillId="0" borderId="6" applyNumberFormat="0" applyFill="0" applyAlignment="0" applyProtection="0"/>
    <xf numFmtId="0" fontId="46" fillId="40" borderId="7" applyNumberFormat="0" applyAlignment="0" applyProtection="0"/>
    <xf numFmtId="0" fontId="22" fillId="41" borderId="8" applyNumberFormat="0" applyAlignment="0" applyProtection="0"/>
    <xf numFmtId="0" fontId="47" fillId="0" borderId="9" applyNumberFormat="0" applyFill="0" applyAlignment="0" applyProtection="0"/>
    <xf numFmtId="0" fontId="23" fillId="0" borderId="10" applyNumberFormat="0" applyFill="0" applyAlignment="0" applyProtection="0"/>
    <xf numFmtId="0" fontId="48" fillId="0" borderId="11" applyNumberFormat="0" applyFill="0" applyAlignment="0" applyProtection="0"/>
    <xf numFmtId="0" fontId="24" fillId="0" borderId="12" applyNumberFormat="0" applyFill="0" applyAlignment="0" applyProtection="0"/>
    <xf numFmtId="0" fontId="49" fillId="0" borderId="13" applyNumberFormat="0" applyFill="0" applyAlignment="0" applyProtection="0"/>
    <xf numFmtId="0" fontId="25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1" fillId="37" borderId="1" applyNumberFormat="0" applyAlignment="0" applyProtection="0"/>
    <xf numFmtId="0" fontId="27" fillId="38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15" applyNumberFormat="0" applyFill="0" applyAlignment="0" applyProtection="0"/>
    <xf numFmtId="0" fontId="16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5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31" fillId="3" borderId="0" applyNumberFormat="0" applyBorder="0" applyAlignment="0" applyProtection="0"/>
  </cellStyleXfs>
  <cellXfs count="235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9" xfId="90" applyFont="1" applyBorder="1" applyAlignment="1">
      <alignment vertical="center" wrapText="1"/>
      <protection/>
    </xf>
    <xf numFmtId="0" fontId="2" fillId="0" borderId="19" xfId="90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8" borderId="0" xfId="0" applyFont="1" applyFill="1" applyBorder="1" applyAlignment="1">
      <alignment horizontal="center"/>
    </xf>
    <xf numFmtId="49" fontId="3" fillId="38" borderId="20" xfId="90" applyNumberFormat="1" applyFont="1" applyFill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3" fillId="0" borderId="21" xfId="90" applyFont="1" applyBorder="1" applyAlignment="1">
      <alignment horizontal="center" vertical="center"/>
      <protection/>
    </xf>
    <xf numFmtId="0" fontId="3" fillId="7" borderId="21" xfId="90" applyFont="1" applyFill="1" applyBorder="1" applyAlignment="1">
      <alignment horizontal="center" vertical="center"/>
      <protection/>
    </xf>
    <xf numFmtId="0" fontId="3" fillId="7" borderId="22" xfId="90" applyFont="1" applyFill="1" applyBorder="1" applyAlignment="1">
      <alignment horizontal="center" vertical="center"/>
      <protection/>
    </xf>
    <xf numFmtId="0" fontId="3" fillId="0" borderId="23" xfId="90" applyFont="1" applyBorder="1" applyAlignment="1">
      <alignment horizontal="center" vertical="center"/>
      <protection/>
    </xf>
    <xf numFmtId="0" fontId="3" fillId="38" borderId="24" xfId="90" applyFont="1" applyFill="1" applyBorder="1" applyAlignment="1">
      <alignment horizontal="center" vertical="center"/>
      <protection/>
    </xf>
    <xf numFmtId="49" fontId="3" fillId="38" borderId="25" xfId="90" applyNumberFormat="1" applyFont="1" applyFill="1" applyBorder="1" applyAlignment="1">
      <alignment horizontal="center"/>
      <protection/>
    </xf>
    <xf numFmtId="49" fontId="3" fillId="38" borderId="26" xfId="90" applyNumberFormat="1" applyFont="1" applyFill="1" applyBorder="1" applyAlignment="1">
      <alignment horizontal="center"/>
      <protection/>
    </xf>
    <xf numFmtId="0" fontId="2" fillId="47" borderId="19" xfId="90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1" borderId="0" xfId="0" applyFont="1" applyFill="1" applyAlignment="1" applyProtection="1">
      <alignment vertical="center"/>
      <protection locked="0"/>
    </xf>
    <xf numFmtId="0" fontId="3" fillId="11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8" borderId="27" xfId="90" applyNumberFormat="1" applyFont="1" applyFill="1" applyBorder="1" applyAlignment="1">
      <alignment horizontal="center"/>
      <protection/>
    </xf>
    <xf numFmtId="165" fontId="2" fillId="11" borderId="21" xfId="9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38" borderId="0" xfId="0" applyFont="1" applyFill="1" applyAlignment="1">
      <alignment horizontal="center"/>
    </xf>
    <xf numFmtId="0" fontId="7" fillId="0" borderId="28" xfId="0" applyFont="1" applyBorder="1" applyAlignment="1">
      <alignment/>
    </xf>
    <xf numFmtId="0" fontId="2" fillId="0" borderId="0" xfId="91" applyFont="1" applyBorder="1" applyAlignment="1" quotePrefix="1">
      <alignment horizontal="right" vertical="center"/>
      <protection/>
    </xf>
    <xf numFmtId="0" fontId="2" fillId="0" borderId="0" xfId="91" applyFont="1" applyBorder="1" applyAlignment="1">
      <alignment vertical="center" wrapText="1"/>
      <protection/>
    </xf>
    <xf numFmtId="165" fontId="2" fillId="0" borderId="0" xfId="91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11" borderId="29" xfId="90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30" xfId="90" applyNumberFormat="1" applyFont="1" applyFill="1" applyBorder="1" applyAlignment="1">
      <alignment vertical="center"/>
      <protection/>
    </xf>
    <xf numFmtId="0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91" applyFont="1" applyBorder="1" applyAlignment="1">
      <alignment vertical="center"/>
      <protection/>
    </xf>
    <xf numFmtId="0" fontId="3" fillId="7" borderId="19" xfId="90" applyFont="1" applyFill="1" applyBorder="1" applyAlignment="1">
      <alignment vertical="center" wrapText="1"/>
      <protection/>
    </xf>
    <xf numFmtId="0" fontId="3" fillId="0" borderId="19" xfId="90" applyFont="1" applyBorder="1" applyAlignment="1">
      <alignment vertical="center" wrapText="1"/>
      <protection/>
    </xf>
    <xf numFmtId="0" fontId="3" fillId="47" borderId="19" xfId="90" applyFont="1" applyFill="1" applyBorder="1" applyAlignment="1">
      <alignment vertical="center" wrapText="1"/>
      <protection/>
    </xf>
    <xf numFmtId="49" fontId="3" fillId="38" borderId="32" xfId="90" applyNumberFormat="1" applyFont="1" applyFill="1" applyBorder="1" applyAlignment="1">
      <alignment vertical="center" wrapText="1"/>
      <protection/>
    </xf>
    <xf numFmtId="0" fontId="3" fillId="38" borderId="33" xfId="90" applyFont="1" applyFill="1" applyBorder="1" applyAlignment="1">
      <alignment vertical="center" wrapText="1"/>
      <protection/>
    </xf>
    <xf numFmtId="0" fontId="8" fillId="7" borderId="19" xfId="90" applyFont="1" applyFill="1" applyBorder="1" applyAlignment="1">
      <alignment vertical="center" wrapText="1"/>
      <protection/>
    </xf>
    <xf numFmtId="0" fontId="8" fillId="7" borderId="34" xfId="90" applyFont="1" applyFill="1" applyBorder="1" applyAlignment="1">
      <alignment vertical="center" wrapText="1"/>
      <protection/>
    </xf>
    <xf numFmtId="0" fontId="3" fillId="47" borderId="33" xfId="90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30" xfId="90" applyFont="1" applyFill="1" applyBorder="1" applyAlignment="1">
      <alignment vertical="center" wrapText="1"/>
      <protection/>
    </xf>
    <xf numFmtId="166" fontId="2" fillId="0" borderId="30" xfId="91" applyNumberFormat="1" applyFont="1" applyFill="1" applyBorder="1" applyAlignment="1">
      <alignment vertical="center"/>
      <protection/>
    </xf>
    <xf numFmtId="166" fontId="3" fillId="0" borderId="30" xfId="91" applyNumberFormat="1" applyFont="1" applyFill="1" applyBorder="1" applyAlignment="1">
      <alignment vertical="center"/>
      <protection/>
    </xf>
    <xf numFmtId="49" fontId="3" fillId="38" borderId="30" xfId="91" applyNumberFormat="1" applyFont="1" applyFill="1" applyBorder="1" applyAlignment="1">
      <alignment horizontal="center" vertical="center"/>
      <protection/>
    </xf>
    <xf numFmtId="49" fontId="3" fillId="38" borderId="30" xfId="91" applyNumberFormat="1" applyFont="1" applyFill="1" applyBorder="1" applyAlignment="1">
      <alignment vertical="center"/>
      <protection/>
    </xf>
    <xf numFmtId="1" fontId="3" fillId="38" borderId="30" xfId="91" applyNumberFormat="1" applyFont="1" applyFill="1" applyBorder="1" applyAlignment="1">
      <alignment horizontal="center" vertical="center"/>
      <protection/>
    </xf>
    <xf numFmtId="0" fontId="3" fillId="0" borderId="30" xfId="91" applyFont="1" applyBorder="1" applyAlignment="1">
      <alignment horizontal="center" vertical="center"/>
      <protection/>
    </xf>
    <xf numFmtId="0" fontId="3" fillId="0" borderId="30" xfId="91" applyFont="1" applyFill="1" applyBorder="1" applyAlignment="1">
      <alignment vertical="center" wrapText="1"/>
      <protection/>
    </xf>
    <xf numFmtId="0" fontId="3" fillId="0" borderId="30" xfId="0" applyFont="1" applyBorder="1" applyAlignment="1">
      <alignment horizontal="center" vertical="top"/>
    </xf>
    <xf numFmtId="0" fontId="3" fillId="0" borderId="30" xfId="0" applyFont="1" applyFill="1" applyBorder="1" applyAlignment="1">
      <alignment vertical="top" wrapText="1"/>
    </xf>
    <xf numFmtId="0" fontId="3" fillId="0" borderId="35" xfId="91" applyFont="1" applyBorder="1" applyAlignment="1">
      <alignment horizontal="center" vertical="center"/>
      <protection/>
    </xf>
    <xf numFmtId="0" fontId="3" fillId="0" borderId="35" xfId="91" applyFont="1" applyFill="1" applyBorder="1" applyAlignment="1">
      <alignment vertical="center" wrapText="1"/>
      <protection/>
    </xf>
    <xf numFmtId="166" fontId="3" fillId="0" borderId="35" xfId="91" applyNumberFormat="1" applyFont="1" applyFill="1" applyBorder="1" applyAlignment="1">
      <alignment vertical="center"/>
      <protection/>
    </xf>
    <xf numFmtId="0" fontId="2" fillId="0" borderId="36" xfId="91" applyFont="1" applyBorder="1" applyAlignment="1">
      <alignment horizontal="center" vertical="center"/>
      <protection/>
    </xf>
    <xf numFmtId="0" fontId="2" fillId="0" borderId="36" xfId="91" applyFont="1" applyFill="1" applyBorder="1" applyAlignment="1">
      <alignment horizontal="left" vertical="center" wrapText="1" indent="1"/>
      <protection/>
    </xf>
    <xf numFmtId="166" fontId="2" fillId="0" borderId="36" xfId="91" applyNumberFormat="1" applyFont="1" applyFill="1" applyBorder="1" applyAlignment="1">
      <alignment vertical="center"/>
      <protection/>
    </xf>
    <xf numFmtId="0" fontId="2" fillId="0" borderId="36" xfId="91" applyFont="1" applyFill="1" applyBorder="1" applyAlignment="1">
      <alignment horizontal="left" vertical="center" wrapText="1" indent="2"/>
      <protection/>
    </xf>
    <xf numFmtId="0" fontId="2" fillId="0" borderId="36" xfId="91" applyNumberFormat="1" applyFont="1" applyFill="1" applyBorder="1" applyAlignment="1">
      <alignment horizontal="left" vertical="center" wrapText="1" indent="2"/>
      <protection/>
    </xf>
    <xf numFmtId="0" fontId="3" fillId="0" borderId="36" xfId="91" applyFont="1" applyBorder="1" applyAlignment="1">
      <alignment horizontal="center" vertical="center"/>
      <protection/>
    </xf>
    <xf numFmtId="166" fontId="3" fillId="0" borderId="36" xfId="91" applyNumberFormat="1" applyFont="1" applyFill="1" applyBorder="1" applyAlignment="1">
      <alignment vertical="center"/>
      <protection/>
    </xf>
    <xf numFmtId="0" fontId="2" fillId="0" borderId="36" xfId="91" applyFont="1" applyFill="1" applyBorder="1" applyAlignment="1">
      <alignment horizontal="left" vertical="center" wrapText="1" indent="3"/>
      <protection/>
    </xf>
    <xf numFmtId="0" fontId="2" fillId="0" borderId="36" xfId="91" applyFont="1" applyFill="1" applyBorder="1" applyAlignment="1">
      <alignment horizontal="left" vertical="center" wrapText="1" indent="4"/>
      <protection/>
    </xf>
    <xf numFmtId="0" fontId="2" fillId="0" borderId="36" xfId="91" applyFont="1" applyFill="1" applyBorder="1" applyAlignment="1" quotePrefix="1">
      <alignment horizontal="left" vertical="center" wrapText="1" indent="2"/>
      <protection/>
    </xf>
    <xf numFmtId="0" fontId="2" fillId="0" borderId="36" xfId="91" applyFont="1" applyFill="1" applyBorder="1" applyAlignment="1">
      <alignment vertical="center" wrapText="1"/>
      <protection/>
    </xf>
    <xf numFmtId="10" fontId="3" fillId="0" borderId="36" xfId="91" applyNumberFormat="1" applyFont="1" applyFill="1" applyBorder="1" applyAlignment="1">
      <alignment vertical="center"/>
      <protection/>
    </xf>
    <xf numFmtId="0" fontId="3" fillId="0" borderId="36" xfId="90" applyFont="1" applyFill="1" applyBorder="1" applyAlignment="1">
      <alignment vertical="center" wrapText="1"/>
      <protection/>
    </xf>
    <xf numFmtId="0" fontId="3" fillId="0" borderId="36" xfId="91" applyFont="1" applyFill="1" applyBorder="1" applyAlignment="1">
      <alignment horizontal="center" vertical="center" wrapText="1"/>
      <protection/>
    </xf>
    <xf numFmtId="0" fontId="2" fillId="0" borderId="37" xfId="91" applyFont="1" applyBorder="1" applyAlignment="1">
      <alignment horizontal="center" vertical="center"/>
      <protection/>
    </xf>
    <xf numFmtId="0" fontId="2" fillId="0" borderId="37" xfId="91" applyFont="1" applyFill="1" applyBorder="1" applyAlignment="1">
      <alignment horizontal="left" vertical="center" wrapText="1" indent="1"/>
      <protection/>
    </xf>
    <xf numFmtId="166" fontId="2" fillId="0" borderId="37" xfId="91" applyNumberFormat="1" applyFont="1" applyFill="1" applyBorder="1" applyAlignment="1">
      <alignment vertical="center"/>
      <protection/>
    </xf>
    <xf numFmtId="0" fontId="2" fillId="0" borderId="37" xfId="91" applyFont="1" applyFill="1" applyBorder="1" applyAlignment="1">
      <alignment horizontal="left" vertical="center" wrapText="1" indent="2"/>
      <protection/>
    </xf>
    <xf numFmtId="0" fontId="3" fillId="0" borderId="37" xfId="91" applyFont="1" applyBorder="1" applyAlignment="1">
      <alignment horizontal="center" vertical="center"/>
      <protection/>
    </xf>
    <xf numFmtId="166" fontId="3" fillId="0" borderId="37" xfId="91" applyNumberFormat="1" applyFont="1" applyFill="1" applyBorder="1" applyAlignment="1">
      <alignment vertical="center"/>
      <protection/>
    </xf>
    <xf numFmtId="0" fontId="2" fillId="0" borderId="35" xfId="91" applyFont="1" applyFill="1" applyBorder="1" applyAlignment="1">
      <alignment vertical="center" wrapText="1"/>
      <protection/>
    </xf>
    <xf numFmtId="10" fontId="3" fillId="0" borderId="35" xfId="91" applyNumberFormat="1" applyFont="1" applyFill="1" applyBorder="1" applyAlignment="1">
      <alignment vertical="center"/>
      <protection/>
    </xf>
    <xf numFmtId="0" fontId="2" fillId="0" borderId="37" xfId="91" applyFont="1" applyFill="1" applyBorder="1" applyAlignment="1">
      <alignment vertical="center" wrapText="1"/>
      <protection/>
    </xf>
    <xf numFmtId="10" fontId="3" fillId="0" borderId="37" xfId="91" applyNumberFormat="1" applyFont="1" applyFill="1" applyBorder="1" applyAlignment="1">
      <alignment vertical="center"/>
      <protection/>
    </xf>
    <xf numFmtId="165" fontId="2" fillId="0" borderId="35" xfId="91" applyNumberFormat="1" applyFont="1" applyFill="1" applyBorder="1" applyAlignment="1">
      <alignment vertical="center"/>
      <protection/>
    </xf>
    <xf numFmtId="166" fontId="2" fillId="0" borderId="35" xfId="91" applyNumberFormat="1" applyFont="1" applyFill="1" applyBorder="1" applyAlignment="1">
      <alignment vertical="center"/>
      <protection/>
    </xf>
    <xf numFmtId="1" fontId="40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2" fontId="40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4" fontId="4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30" xfId="90" applyNumberFormat="1" applyFont="1" applyFill="1" applyBorder="1" applyAlignment="1">
      <alignment horizontal="center" vertical="center"/>
      <protection/>
    </xf>
    <xf numFmtId="49" fontId="3" fillId="0" borderId="30" xfId="90" applyNumberFormat="1" applyFont="1" applyFill="1" applyBorder="1" applyAlignment="1">
      <alignment horizontal="center" vertical="center" wrapText="1"/>
      <protection/>
    </xf>
    <xf numFmtId="49" fontId="3" fillId="0" borderId="30" xfId="90" applyNumberFormat="1" applyFont="1" applyFill="1" applyBorder="1" applyAlignment="1">
      <alignment horizontal="center"/>
      <protection/>
    </xf>
    <xf numFmtId="0" fontId="3" fillId="0" borderId="30" xfId="90" applyFont="1" applyFill="1" applyBorder="1" applyAlignment="1">
      <alignment horizontal="center" vertical="center"/>
      <protection/>
    </xf>
    <xf numFmtId="166" fontId="3" fillId="0" borderId="30" xfId="90" applyNumberFormat="1" applyFont="1" applyFill="1" applyBorder="1" applyAlignment="1" applyProtection="1">
      <alignment vertical="center"/>
      <protection locked="0"/>
    </xf>
    <xf numFmtId="0" fontId="8" fillId="0" borderId="30" xfId="90" applyFont="1" applyFill="1" applyBorder="1" applyAlignment="1">
      <alignment vertical="center" wrapText="1"/>
      <protection/>
    </xf>
    <xf numFmtId="166" fontId="3" fillId="0" borderId="30" xfId="90" applyNumberFormat="1" applyFont="1" applyFill="1" applyBorder="1" applyAlignment="1" applyProtection="1">
      <alignment vertical="center"/>
      <protection/>
    </xf>
    <xf numFmtId="0" fontId="8" fillId="0" borderId="30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horizontal="left" vertical="center" wrapText="1" indent="1"/>
      <protection/>
    </xf>
    <xf numFmtId="166" fontId="2" fillId="0" borderId="36" xfId="90" applyNumberFormat="1" applyFont="1" applyFill="1" applyBorder="1" applyAlignment="1" applyProtection="1">
      <alignment vertical="center"/>
      <protection locked="0"/>
    </xf>
    <xf numFmtId="0" fontId="2" fillId="0" borderId="36" xfId="90" applyFont="1" applyFill="1" applyBorder="1" applyAlignment="1">
      <alignment horizontal="left" vertical="center" wrapText="1" indent="2"/>
      <protection/>
    </xf>
    <xf numFmtId="0" fontId="2" fillId="0" borderId="36" xfId="90" applyFont="1" applyFill="1" applyBorder="1" applyAlignment="1" quotePrefix="1">
      <alignment horizontal="left" vertical="center" wrapText="1" indent="1"/>
      <protection/>
    </xf>
    <xf numFmtId="0" fontId="11" fillId="0" borderId="36" xfId="90" applyFont="1" applyFill="1" applyBorder="1" applyAlignment="1">
      <alignment horizontal="left" vertical="center" wrapText="1" indent="2"/>
      <protection/>
    </xf>
    <xf numFmtId="0" fontId="11" fillId="0" borderId="36" xfId="90" applyFont="1" applyFill="1" applyBorder="1" applyAlignment="1">
      <alignment horizontal="left" vertical="center" wrapText="1" indent="1"/>
      <protection/>
    </xf>
    <xf numFmtId="166" fontId="3" fillId="0" borderId="36" xfId="90" applyNumberFormat="1" applyFont="1" applyFill="1" applyBorder="1" applyAlignment="1">
      <alignment vertical="center"/>
      <protection/>
    </xf>
    <xf numFmtId="0" fontId="8" fillId="0" borderId="36" xfId="90" applyFont="1" applyFill="1" applyBorder="1" applyAlignment="1">
      <alignment horizontal="center" vertical="center"/>
      <protection/>
    </xf>
    <xf numFmtId="0" fontId="11" fillId="0" borderId="36" xfId="90" applyFont="1" applyFill="1" applyBorder="1" applyAlignment="1">
      <alignment horizontal="center" vertical="center"/>
      <protection/>
    </xf>
    <xf numFmtId="0" fontId="2" fillId="0" borderId="36" xfId="90" applyFont="1" applyFill="1" applyBorder="1" applyAlignment="1">
      <alignment vertical="center" wrapText="1"/>
      <protection/>
    </xf>
    <xf numFmtId="10" fontId="2" fillId="0" borderId="36" xfId="96" applyNumberFormat="1" applyFont="1" applyFill="1" applyBorder="1" applyAlignment="1">
      <alignment vertical="center"/>
    </xf>
    <xf numFmtId="0" fontId="11" fillId="0" borderId="36" xfId="90" applyFont="1" applyFill="1" applyBorder="1" applyAlignment="1">
      <alignment vertical="center" wrapText="1"/>
      <protection/>
    </xf>
    <xf numFmtId="0" fontId="3" fillId="0" borderId="36" xfId="91" applyFont="1" applyBorder="1" applyAlignment="1">
      <alignment horizontal="center" vertical="center" wrapText="1"/>
      <protection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top" wrapText="1" indent="1"/>
    </xf>
    <xf numFmtId="166" fontId="3" fillId="0" borderId="37" xfId="90" applyNumberFormat="1" applyFont="1" applyFill="1" applyBorder="1" applyAlignment="1">
      <alignment vertical="center"/>
      <protection/>
    </xf>
    <xf numFmtId="0" fontId="3" fillId="0" borderId="35" xfId="90" applyFont="1" applyFill="1" applyBorder="1" applyAlignment="1">
      <alignment horizontal="center" vertical="center"/>
      <protection/>
    </xf>
    <xf numFmtId="0" fontId="3" fillId="0" borderId="35" xfId="90" applyFont="1" applyFill="1" applyBorder="1" applyAlignment="1">
      <alignment vertical="center" wrapText="1"/>
      <protection/>
    </xf>
    <xf numFmtId="166" fontId="3" fillId="0" borderId="35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center" vertical="center"/>
      <protection/>
    </xf>
    <xf numFmtId="0" fontId="2" fillId="0" borderId="37" xfId="90" applyFont="1" applyFill="1" applyBorder="1" applyAlignment="1">
      <alignment horizontal="left" vertical="center" wrapText="1" indent="2"/>
      <protection/>
    </xf>
    <xf numFmtId="166" fontId="2" fillId="0" borderId="37" xfId="90" applyNumberFormat="1" applyFont="1" applyFill="1" applyBorder="1" applyAlignment="1" applyProtection="1">
      <alignment vertical="center"/>
      <protection locked="0"/>
    </xf>
    <xf numFmtId="0" fontId="2" fillId="0" borderId="37" xfId="90" applyFont="1" applyFill="1" applyBorder="1" applyAlignment="1">
      <alignment horizontal="left" vertical="center" wrapText="1" indent="1"/>
      <protection/>
    </xf>
    <xf numFmtId="166" fontId="3" fillId="0" borderId="38" xfId="90" applyNumberFormat="1" applyFont="1" applyFill="1" applyBorder="1" applyAlignment="1">
      <alignment vertical="center"/>
      <protection/>
    </xf>
    <xf numFmtId="166" fontId="3" fillId="0" borderId="35" xfId="90" applyNumberFormat="1" applyFont="1" applyFill="1" applyBorder="1" applyAlignment="1">
      <alignment vertical="center"/>
      <protection/>
    </xf>
    <xf numFmtId="166" fontId="2" fillId="0" borderId="37" xfId="90" applyNumberFormat="1" applyFont="1" applyFill="1" applyBorder="1" applyAlignment="1">
      <alignment vertical="center"/>
      <protection/>
    </xf>
    <xf numFmtId="166" fontId="3" fillId="0" borderId="35" xfId="90" applyNumberFormat="1" applyFont="1" applyFill="1" applyBorder="1" applyAlignment="1">
      <alignment vertical="center" wrapText="1"/>
      <protection/>
    </xf>
    <xf numFmtId="0" fontId="8" fillId="0" borderId="35" xfId="90" applyFont="1" applyFill="1" applyBorder="1" applyAlignment="1">
      <alignment horizontal="center" vertical="center"/>
      <protection/>
    </xf>
    <xf numFmtId="0" fontId="8" fillId="0" borderId="35" xfId="90" applyFont="1" applyFill="1" applyBorder="1" applyAlignment="1">
      <alignment vertical="center" wrapText="1"/>
      <protection/>
    </xf>
    <xf numFmtId="0" fontId="11" fillId="0" borderId="37" xfId="90" applyFont="1" applyFill="1" applyBorder="1" applyAlignment="1">
      <alignment horizontal="center" vertical="center"/>
      <protection/>
    </xf>
    <xf numFmtId="0" fontId="11" fillId="0" borderId="37" xfId="90" applyFont="1" applyFill="1" applyBorder="1" applyAlignment="1">
      <alignment horizontal="left" vertical="center" wrapText="1" indent="1"/>
      <protection/>
    </xf>
    <xf numFmtId="0" fontId="11" fillId="0" borderId="35" xfId="90" applyFont="1" applyFill="1" applyBorder="1" applyAlignment="1">
      <alignment horizontal="center" vertical="center"/>
      <protection/>
    </xf>
    <xf numFmtId="0" fontId="2" fillId="0" borderId="35" xfId="90" applyFont="1" applyFill="1" applyBorder="1" applyAlignment="1">
      <alignment vertical="center" wrapText="1"/>
      <protection/>
    </xf>
    <xf numFmtId="10" fontId="2" fillId="0" borderId="35" xfId="96" applyNumberFormat="1" applyFont="1" applyFill="1" applyBorder="1" applyAlignment="1">
      <alignment vertical="center"/>
    </xf>
    <xf numFmtId="0" fontId="11" fillId="0" borderId="37" xfId="90" applyFont="1" applyFill="1" applyBorder="1" applyAlignment="1">
      <alignment horizontal="left" vertical="center" wrapText="1"/>
      <protection/>
    </xf>
    <xf numFmtId="10" fontId="2" fillId="0" borderId="37" xfId="96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top" wrapText="1"/>
    </xf>
    <xf numFmtId="0" fontId="3" fillId="0" borderId="37" xfId="91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2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12" fillId="47" borderId="0" xfId="0" applyFont="1" applyFill="1" applyAlignment="1">
      <alignment/>
    </xf>
    <xf numFmtId="0" fontId="12" fillId="18" borderId="0" xfId="0" applyFont="1" applyFill="1" applyAlignment="1">
      <alignment/>
    </xf>
    <xf numFmtId="0" fontId="14" fillId="18" borderId="35" xfId="0" applyFont="1" applyFill="1" applyBorder="1" applyAlignment="1">
      <alignment horizontal="right" wrapText="1"/>
    </xf>
    <xf numFmtId="166" fontId="7" fillId="0" borderId="35" xfId="0" applyNumberFormat="1" applyFont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0" fontId="14" fillId="18" borderId="36" xfId="0" applyFont="1" applyFill="1" applyBorder="1" applyAlignment="1">
      <alignment horizontal="right" wrapText="1"/>
    </xf>
    <xf numFmtId="0" fontId="15" fillId="0" borderId="36" xfId="0" applyFont="1" applyBorder="1" applyAlignment="1">
      <alignment horizontal="right" wrapText="1"/>
    </xf>
    <xf numFmtId="0" fontId="7" fillId="0" borderId="36" xfId="0" applyFont="1" applyBorder="1" applyAlignment="1">
      <alignment vertical="center"/>
    </xf>
    <xf numFmtId="0" fontId="14" fillId="47" borderId="36" xfId="0" applyFont="1" applyFill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14" fillId="47" borderId="36" xfId="0" applyFont="1" applyFill="1" applyBorder="1" applyAlignment="1">
      <alignment horizontal="right" wrapText="1"/>
    </xf>
    <xf numFmtId="0" fontId="7" fillId="0" borderId="36" xfId="0" applyFont="1" applyBorder="1" applyAlignment="1">
      <alignment/>
    </xf>
    <xf numFmtId="0" fontId="14" fillId="47" borderId="37" xfId="0" applyFont="1" applyFill="1" applyBorder="1" applyAlignment="1">
      <alignment horizontal="right" wrapText="1"/>
    </xf>
    <xf numFmtId="0" fontId="7" fillId="0" borderId="37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35" xfId="91" applyFont="1" applyFill="1" applyBorder="1" applyAlignment="1">
      <alignment horizontal="center" vertical="center"/>
      <protection/>
    </xf>
    <xf numFmtId="0" fontId="8" fillId="0" borderId="35" xfId="91" applyFont="1" applyFill="1" applyBorder="1" applyAlignment="1">
      <alignment horizontal="left" vertical="center" wrapText="1"/>
      <protection/>
    </xf>
    <xf numFmtId="0" fontId="3" fillId="0" borderId="37" xfId="91" applyFont="1" applyFill="1" applyBorder="1" applyAlignment="1">
      <alignment horizontal="center" vertical="center"/>
      <protection/>
    </xf>
    <xf numFmtId="0" fontId="8" fillId="0" borderId="37" xfId="91" applyFont="1" applyFill="1" applyBorder="1" applyAlignment="1">
      <alignment horizontal="left" vertical="center" wrapText="1"/>
      <protection/>
    </xf>
    <xf numFmtId="10" fontId="7" fillId="0" borderId="30" xfId="96" applyNumberFormat="1" applyFont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47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48" borderId="30" xfId="0" applyNumberFormat="1" applyFont="1" applyFill="1" applyBorder="1" applyAlignment="1" applyProtection="1">
      <alignment vertical="center"/>
      <protection locked="0"/>
    </xf>
    <xf numFmtId="10" fontId="33" fillId="49" borderId="30" xfId="101" applyNumberFormat="1" applyFont="1" applyFill="1" applyBorder="1" applyAlignment="1" applyProtection="1">
      <alignment vertical="center"/>
      <protection/>
    </xf>
    <xf numFmtId="0" fontId="34" fillId="49" borderId="40" xfId="0" applyFont="1" applyFill="1" applyBorder="1" applyAlignment="1" applyProtection="1">
      <alignment/>
      <protection locked="0"/>
    </xf>
    <xf numFmtId="10" fontId="34" fillId="49" borderId="41" xfId="101" applyNumberFormat="1" applyFont="1" applyFill="1" applyBorder="1" applyAlignment="1" applyProtection="1">
      <alignment vertical="center"/>
      <protection/>
    </xf>
    <xf numFmtId="4" fontId="34" fillId="49" borderId="30" xfId="101" applyNumberFormat="1" applyFont="1" applyFill="1" applyBorder="1" applyAlignment="1" applyProtection="1">
      <alignment vertical="center"/>
      <protection/>
    </xf>
    <xf numFmtId="10" fontId="34" fillId="49" borderId="30" xfId="101" applyNumberFormat="1" applyFont="1" applyFill="1" applyBorder="1" applyAlignment="1" applyProtection="1">
      <alignment vertical="center"/>
      <protection/>
    </xf>
    <xf numFmtId="0" fontId="33" fillId="0" borderId="30" xfId="0" applyFont="1" applyBorder="1" applyAlignment="1" applyProtection="1">
      <alignment vertical="center" wrapText="1"/>
      <protection locked="0"/>
    </xf>
    <xf numFmtId="0" fontId="34" fillId="49" borderId="30" xfId="0" applyFont="1" applyFill="1" applyBorder="1" applyAlignment="1" applyProtection="1">
      <alignment vertical="center" wrapText="1"/>
      <protection/>
    </xf>
    <xf numFmtId="4" fontId="35" fillId="49" borderId="30" xfId="0" applyNumberFormat="1" applyFont="1" applyFill="1" applyBorder="1" applyAlignment="1" applyProtection="1">
      <alignment vertical="center"/>
      <protection/>
    </xf>
    <xf numFmtId="0" fontId="34" fillId="49" borderId="30" xfId="0" applyFont="1" applyFill="1" applyBorder="1" applyAlignment="1" applyProtection="1">
      <alignment vertical="center" wrapText="1"/>
      <protection locked="0"/>
    </xf>
    <xf numFmtId="0" fontId="34" fillId="49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49" borderId="0" xfId="0" applyFont="1" applyFill="1" applyBorder="1" applyAlignment="1" applyProtection="1">
      <alignment/>
      <protection locked="0"/>
    </xf>
    <xf numFmtId="0" fontId="34" fillId="49" borderId="23" xfId="0" applyFont="1" applyFill="1" applyBorder="1" applyAlignment="1" applyProtection="1">
      <alignment vertical="center" wrapText="1"/>
      <protection locked="0"/>
    </xf>
    <xf numFmtId="4" fontId="35" fillId="48" borderId="42" xfId="0" applyNumberFormat="1" applyFont="1" applyFill="1" applyBorder="1" applyAlignment="1" applyProtection="1">
      <alignment vertical="center"/>
      <protection locked="0"/>
    </xf>
    <xf numFmtId="0" fontId="34" fillId="49" borderId="21" xfId="0" applyFont="1" applyFill="1" applyBorder="1" applyAlignment="1" applyProtection="1">
      <alignment vertical="center" wrapText="1"/>
      <protection locked="0"/>
    </xf>
    <xf numFmtId="0" fontId="34" fillId="49" borderId="43" xfId="0" applyFont="1" applyFill="1" applyBorder="1" applyAlignment="1" applyProtection="1">
      <alignment vertical="center" wrapText="1"/>
      <protection/>
    </xf>
    <xf numFmtId="4" fontId="35" fillId="49" borderId="44" xfId="0" applyNumberFormat="1" applyFont="1" applyFill="1" applyBorder="1" applyAlignment="1" applyProtection="1">
      <alignment vertical="center"/>
      <protection/>
    </xf>
    <xf numFmtId="0" fontId="34" fillId="49" borderId="20" xfId="0" applyFont="1" applyFill="1" applyBorder="1" applyAlignment="1" applyProtection="1">
      <alignment vertical="center" wrapText="1"/>
      <protection/>
    </xf>
    <xf numFmtId="4" fontId="35" fillId="0" borderId="25" xfId="0" applyNumberFormat="1" applyFont="1" applyFill="1" applyBorder="1" applyAlignment="1" applyProtection="1">
      <alignment vertical="center"/>
      <protection/>
    </xf>
    <xf numFmtId="0" fontId="34" fillId="49" borderId="42" xfId="0" applyFont="1" applyFill="1" applyBorder="1" applyAlignment="1" applyProtection="1">
      <alignment vertical="center" wrapText="1"/>
      <protection/>
    </xf>
    <xf numFmtId="0" fontId="34" fillId="47" borderId="30" xfId="0" applyFont="1" applyFill="1" applyBorder="1" applyAlignment="1" applyProtection="1">
      <alignment vertical="center" wrapText="1"/>
      <protection locked="0"/>
    </xf>
    <xf numFmtId="0" fontId="34" fillId="18" borderId="30" xfId="0" applyFont="1" applyFill="1" applyBorder="1" applyAlignment="1" applyProtection="1">
      <alignment vertical="center" wrapText="1"/>
      <protection locked="0"/>
    </xf>
    <xf numFmtId="0" fontId="38" fillId="49" borderId="0" xfId="0" applyFont="1" applyFill="1" applyBorder="1" applyAlignment="1" applyProtection="1">
      <alignment horizontal="right"/>
      <protection locked="0"/>
    </xf>
    <xf numFmtId="10" fontId="34" fillId="49" borderId="41" xfId="101" applyNumberFormat="1" applyFont="1" applyFill="1" applyBorder="1" applyAlignment="1" applyProtection="1">
      <alignment horizontal="right" vertical="center"/>
      <protection/>
    </xf>
    <xf numFmtId="10" fontId="35" fillId="0" borderId="30" xfId="0" applyNumberFormat="1" applyFont="1" applyBorder="1" applyAlignment="1">
      <alignment/>
    </xf>
    <xf numFmtId="0" fontId="33" fillId="0" borderId="30" xfId="0" applyFont="1" applyFill="1" applyBorder="1" applyAlignment="1" applyProtection="1">
      <alignment vertical="center" wrapText="1"/>
      <protection locked="0"/>
    </xf>
    <xf numFmtId="4" fontId="7" fillId="0" borderId="30" xfId="96" applyNumberFormat="1" applyFont="1" applyBorder="1" applyAlignment="1">
      <alignment/>
    </xf>
    <xf numFmtId="166" fontId="7" fillId="0" borderId="38" xfId="0" applyNumberFormat="1" applyFont="1" applyBorder="1" applyAlignment="1">
      <alignment vertical="center"/>
    </xf>
    <xf numFmtId="0" fontId="14" fillId="35" borderId="38" xfId="0" applyFont="1" applyFill="1" applyBorder="1" applyAlignment="1">
      <alignment horizontal="right" wrapText="1"/>
    </xf>
    <xf numFmtId="166" fontId="7" fillId="0" borderId="38" xfId="0" applyNumberFormat="1" applyFont="1" applyBorder="1" applyAlignment="1">
      <alignment horizontal="center" vertical="center"/>
    </xf>
    <xf numFmtId="0" fontId="34" fillId="49" borderId="34" xfId="0" applyFont="1" applyFill="1" applyBorder="1" applyAlignment="1" applyProtection="1">
      <alignment/>
      <protection locked="0"/>
    </xf>
    <xf numFmtId="0" fontId="34" fillId="38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7" fillId="0" borderId="0" xfId="0" applyNumberFormat="1" applyFont="1" applyAlignment="1">
      <alignment/>
    </xf>
    <xf numFmtId="0" fontId="13" fillId="0" borderId="0" xfId="0" applyFont="1" applyAlignment="1">
      <alignment/>
    </xf>
    <xf numFmtId="10" fontId="34" fillId="49" borderId="19" xfId="101" applyNumberFormat="1" applyFont="1" applyFill="1" applyBorder="1" applyAlignment="1" applyProtection="1">
      <alignment horizontal="center" vertical="center"/>
      <protection/>
    </xf>
    <xf numFmtId="10" fontId="34" fillId="49" borderId="45" xfId="101" applyNumberFormat="1" applyFont="1" applyFill="1" applyBorder="1" applyAlignment="1" applyProtection="1">
      <alignment horizontal="center" vertical="center"/>
      <protection/>
    </xf>
    <xf numFmtId="10" fontId="34" fillId="49" borderId="46" xfId="101" applyNumberFormat="1" applyFont="1" applyFill="1" applyBorder="1" applyAlignment="1" applyProtection="1">
      <alignment horizontal="center" vertical="center"/>
      <protection/>
    </xf>
    <xf numFmtId="0" fontId="34" fillId="49" borderId="47" xfId="0" applyFont="1" applyFill="1" applyBorder="1" applyAlignment="1" applyProtection="1">
      <alignment horizontal="center" vertical="center"/>
      <protection locked="0"/>
    </xf>
    <xf numFmtId="0" fontId="34" fillId="49" borderId="48" xfId="0" applyFont="1" applyFill="1" applyBorder="1" applyAlignment="1" applyProtection="1">
      <alignment horizontal="center" vertical="center"/>
      <protection locked="0"/>
    </xf>
    <xf numFmtId="0" fontId="34" fillId="49" borderId="0" xfId="0" applyFont="1" applyFill="1" applyBorder="1" applyAlignment="1" applyProtection="1">
      <alignment horizontal="center" vertical="center"/>
      <protection locked="0"/>
    </xf>
    <xf numFmtId="0" fontId="34" fillId="49" borderId="49" xfId="0" applyFont="1" applyFill="1" applyBorder="1" applyAlignment="1" applyProtection="1">
      <alignment horizontal="center" vertical="center"/>
      <protection locked="0"/>
    </xf>
    <xf numFmtId="0" fontId="34" fillId="49" borderId="39" xfId="0" applyFont="1" applyFill="1" applyBorder="1" applyAlignment="1" applyProtection="1">
      <alignment horizontal="center" vertical="center"/>
      <protection locked="0"/>
    </xf>
    <xf numFmtId="0" fontId="34" fillId="49" borderId="50" xfId="0" applyFont="1" applyFill="1" applyBorder="1" applyAlignment="1" applyProtection="1">
      <alignment horizontal="center" vertical="center"/>
      <protection locked="0"/>
    </xf>
    <xf numFmtId="0" fontId="34" fillId="49" borderId="51" xfId="0" applyFont="1" applyFill="1" applyBorder="1" applyAlignment="1" applyProtection="1">
      <alignment horizontal="center"/>
      <protection locked="0"/>
    </xf>
    <xf numFmtId="0" fontId="34" fillId="49" borderId="52" xfId="0" applyFont="1" applyFill="1" applyBorder="1" applyAlignment="1" applyProtection="1">
      <alignment horizontal="center"/>
      <protection locked="0"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5">
    <dxf>
      <font>
        <b/>
        <i val="0"/>
      </font>
      <fill>
        <patternFill>
          <bgColor rgb="FF66FFFF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5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41" width="11.59765625" style="1" customWidth="1"/>
    <col min="42" max="16384" width="9" style="1" customWidth="1"/>
  </cols>
  <sheetData>
    <row r="1" spans="2:31" s="4" customFormat="1" ht="12">
      <c r="B1" s="26" t="s">
        <v>42</v>
      </c>
      <c r="C1" s="16" t="str">
        <f>+Zal_1_WPF_wg_przeplywow!D1</f>
        <v>XXIV/125/2012</v>
      </c>
      <c r="D1" s="22" t="str">
        <f>C2&amp;" - "&amp;"WPF za lata "&amp;C3&amp;" - Nr Uchwały JST: "&amp;C1</f>
        <v>(1425062) - JEDLNIA-LETNISKO - WPF za lata 2012-2022 - Nr Uchwały JST: XXIV/125/2012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+Zal_1_WPF_wg_przeplywow!D2</f>
        <v>(1425062) - JEDLNIA-LETNISKO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 t="str">
        <f>+Zal_1_WPF_wg_przeplywow!D3</f>
        <v>2012-2022</v>
      </c>
      <c r="D3" s="34" t="s">
        <v>192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77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6" t="s">
        <v>45</v>
      </c>
      <c r="B6" s="67" t="s">
        <v>59</v>
      </c>
      <c r="C6" s="68">
        <f>+C7+C9</f>
        <v>31991829.19</v>
      </c>
      <c r="D6" s="68">
        <f aca="true" t="shared" si="0" ref="D6:AD6">+D7+D9</f>
        <v>31283833</v>
      </c>
      <c r="E6" s="68">
        <f t="shared" si="0"/>
        <v>31794363</v>
      </c>
      <c r="F6" s="68">
        <f t="shared" si="0"/>
        <v>32515274</v>
      </c>
      <c r="G6" s="68">
        <f t="shared" si="0"/>
        <v>33598788</v>
      </c>
      <c r="H6" s="68">
        <f t="shared" si="0"/>
        <v>32991479</v>
      </c>
      <c r="I6" s="68">
        <f t="shared" si="0"/>
        <v>33878223</v>
      </c>
      <c r="J6" s="68">
        <f t="shared" si="0"/>
        <v>34994570</v>
      </c>
      <c r="K6" s="68">
        <f t="shared" si="0"/>
        <v>35241407</v>
      </c>
      <c r="L6" s="68">
        <f t="shared" si="0"/>
        <v>37019649</v>
      </c>
      <c r="M6" s="68">
        <f t="shared" si="0"/>
        <v>38130238</v>
      </c>
      <c r="N6" s="68">
        <f t="shared" si="0"/>
        <v>0</v>
      </c>
      <c r="O6" s="68">
        <f t="shared" si="0"/>
        <v>0</v>
      </c>
      <c r="P6" s="68">
        <f t="shared" si="0"/>
        <v>0</v>
      </c>
      <c r="Q6" s="68">
        <f t="shared" si="0"/>
        <v>0</v>
      </c>
      <c r="R6" s="68">
        <f t="shared" si="0"/>
        <v>0</v>
      </c>
      <c r="S6" s="68">
        <f t="shared" si="0"/>
        <v>0</v>
      </c>
      <c r="T6" s="68">
        <f t="shared" si="0"/>
        <v>0</v>
      </c>
      <c r="U6" s="68">
        <f t="shared" si="0"/>
        <v>0</v>
      </c>
      <c r="V6" s="68">
        <f t="shared" si="0"/>
        <v>0</v>
      </c>
      <c r="W6" s="68">
        <f t="shared" si="0"/>
        <v>0</v>
      </c>
      <c r="X6" s="68">
        <f t="shared" si="0"/>
        <v>0</v>
      </c>
      <c r="Y6" s="68">
        <f t="shared" si="0"/>
        <v>0</v>
      </c>
      <c r="Z6" s="68">
        <f t="shared" si="0"/>
        <v>0</v>
      </c>
      <c r="AA6" s="68">
        <f t="shared" si="0"/>
        <v>0</v>
      </c>
      <c r="AB6" s="68">
        <f t="shared" si="0"/>
        <v>0</v>
      </c>
      <c r="AC6" s="68">
        <f t="shared" si="0"/>
        <v>0</v>
      </c>
      <c r="AD6" s="68">
        <f t="shared" si="0"/>
        <v>0</v>
      </c>
      <c r="AE6" s="68">
        <f aca="true" t="shared" si="1" ref="AE6:AO6">+AE7+AE9</f>
        <v>0</v>
      </c>
      <c r="AF6" s="68">
        <f t="shared" si="1"/>
        <v>0</v>
      </c>
      <c r="AG6" s="68">
        <f t="shared" si="1"/>
        <v>0</v>
      </c>
      <c r="AH6" s="68">
        <f t="shared" si="1"/>
        <v>0</v>
      </c>
      <c r="AI6" s="68">
        <f t="shared" si="1"/>
        <v>0</v>
      </c>
      <c r="AJ6" s="68">
        <f t="shared" si="1"/>
        <v>0</v>
      </c>
      <c r="AK6" s="68">
        <f t="shared" si="1"/>
        <v>0</v>
      </c>
      <c r="AL6" s="68">
        <f t="shared" si="1"/>
        <v>0</v>
      </c>
      <c r="AM6" s="68">
        <f t="shared" si="1"/>
        <v>0</v>
      </c>
      <c r="AN6" s="68">
        <f t="shared" si="1"/>
        <v>0</v>
      </c>
      <c r="AO6" s="68">
        <f t="shared" si="1"/>
        <v>0</v>
      </c>
    </row>
    <row r="7" spans="1:41" ht="12">
      <c r="A7" s="69"/>
      <c r="B7" s="70" t="s">
        <v>60</v>
      </c>
      <c r="C7" s="71">
        <f>+Zal_1_WPF_wg_przeplywow!C8</f>
        <v>28620205.19</v>
      </c>
      <c r="D7" s="71">
        <f>+Zal_1_WPF_wg_przeplywow!D8</f>
        <v>29768833</v>
      </c>
      <c r="E7" s="71">
        <f>+Zal_1_WPF_wg_przeplywow!E8</f>
        <v>30279363</v>
      </c>
      <c r="F7" s="71">
        <f>+Zal_1_WPF_wg_przeplywow!F8</f>
        <v>31000274</v>
      </c>
      <c r="G7" s="71">
        <f>+Zal_1_WPF_wg_przeplywow!G8</f>
        <v>31983475</v>
      </c>
      <c r="H7" s="71">
        <f>+Zal_1_WPF_wg_przeplywow!H8</f>
        <v>32991479</v>
      </c>
      <c r="I7" s="71">
        <f>+Zal_1_WPF_wg_przeplywow!I8</f>
        <v>33878223</v>
      </c>
      <c r="J7" s="71">
        <f>+Zal_1_WPF_wg_przeplywow!J8</f>
        <v>34994570</v>
      </c>
      <c r="K7" s="71">
        <f>+Zal_1_WPF_wg_przeplywow!K8</f>
        <v>35241407</v>
      </c>
      <c r="L7" s="71">
        <f>+Zal_1_WPF_wg_przeplywow!L8</f>
        <v>37019649</v>
      </c>
      <c r="M7" s="71">
        <f>+Zal_1_WPF_wg_przeplywow!M8</f>
        <v>38130238</v>
      </c>
      <c r="N7" s="71">
        <f>+Zal_1_WPF_wg_przeplywow!N8</f>
        <v>0</v>
      </c>
      <c r="O7" s="71">
        <f>+Zal_1_WPF_wg_przeplywow!O8</f>
        <v>0</v>
      </c>
      <c r="P7" s="71">
        <f>+Zal_1_WPF_wg_przeplywow!P8</f>
        <v>0</v>
      </c>
      <c r="Q7" s="71">
        <f>+Zal_1_WPF_wg_przeplywow!Q8</f>
        <v>0</v>
      </c>
      <c r="R7" s="71">
        <f>+Zal_1_WPF_wg_przeplywow!R8</f>
        <v>0</v>
      </c>
      <c r="S7" s="71">
        <f>+Zal_1_WPF_wg_przeplywow!S8</f>
        <v>0</v>
      </c>
      <c r="T7" s="71">
        <f>+Zal_1_WPF_wg_przeplywow!T8</f>
        <v>0</v>
      </c>
      <c r="U7" s="71">
        <f>+Zal_1_WPF_wg_przeplywow!U8</f>
        <v>0</v>
      </c>
      <c r="V7" s="71">
        <f>+Zal_1_WPF_wg_przeplywow!V8</f>
        <v>0</v>
      </c>
      <c r="W7" s="71">
        <f>+Zal_1_WPF_wg_przeplywow!W8</f>
        <v>0</v>
      </c>
      <c r="X7" s="71">
        <f>+Zal_1_WPF_wg_przeplywow!X8</f>
        <v>0</v>
      </c>
      <c r="Y7" s="71">
        <f>+Zal_1_WPF_wg_przeplywow!Y8</f>
        <v>0</v>
      </c>
      <c r="Z7" s="71">
        <f>+Zal_1_WPF_wg_przeplywow!Z8</f>
        <v>0</v>
      </c>
      <c r="AA7" s="71">
        <f>+Zal_1_WPF_wg_przeplywow!AA8</f>
        <v>0</v>
      </c>
      <c r="AB7" s="71">
        <f>+Zal_1_WPF_wg_przeplywow!AB8</f>
        <v>0</v>
      </c>
      <c r="AC7" s="71">
        <f>+Zal_1_WPF_wg_przeplywow!AC8</f>
        <v>0</v>
      </c>
      <c r="AD7" s="71">
        <f>+Zal_1_WPF_wg_przeplywow!AD8</f>
        <v>0</v>
      </c>
      <c r="AE7" s="71">
        <f>+Zal_1_WPF_wg_przeplywow!AE8</f>
        <v>0</v>
      </c>
      <c r="AF7" s="71">
        <f>+Zal_1_WPF_wg_przeplywow!AF8</f>
        <v>0</v>
      </c>
      <c r="AG7" s="71">
        <f>+Zal_1_WPF_wg_przeplywow!AG8</f>
        <v>0</v>
      </c>
      <c r="AH7" s="71">
        <f>+Zal_1_WPF_wg_przeplywow!AH8</f>
        <v>0</v>
      </c>
      <c r="AI7" s="71">
        <f>+Zal_1_WPF_wg_przeplywow!AI8</f>
        <v>0</v>
      </c>
      <c r="AJ7" s="71">
        <f>+Zal_1_WPF_wg_przeplywow!AJ8</f>
        <v>0</v>
      </c>
      <c r="AK7" s="71">
        <f>+Zal_1_WPF_wg_przeplywow!AK8</f>
        <v>0</v>
      </c>
      <c r="AL7" s="71">
        <f>+Zal_1_WPF_wg_przeplywow!AL8</f>
        <v>0</v>
      </c>
      <c r="AM7" s="71">
        <f>+Zal_1_WPF_wg_przeplywow!AM8</f>
        <v>0</v>
      </c>
      <c r="AN7" s="71">
        <f>+Zal_1_WPF_wg_przeplywow!AN8</f>
        <v>0</v>
      </c>
      <c r="AO7" s="71">
        <f>+Zal_1_WPF_wg_przeplywow!AO8</f>
        <v>0</v>
      </c>
    </row>
    <row r="8" spans="1:41" ht="12">
      <c r="A8" s="69"/>
      <c r="B8" s="72" t="s">
        <v>86</v>
      </c>
      <c r="C8" s="71">
        <f>+Zal_1_WPF_wg_przeplywow!C9</f>
        <v>131940.9</v>
      </c>
      <c r="D8" s="71">
        <f>+Zal_1_WPF_wg_przeplywow!D9</f>
        <v>170050</v>
      </c>
      <c r="E8" s="71">
        <f>+Zal_1_WPF_wg_przeplywow!E9</f>
        <v>179000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  <c r="L8" s="71">
        <f>+Zal_1_WPF_wg_przeplywow!L9</f>
        <v>0</v>
      </c>
      <c r="M8" s="71">
        <f>+Zal_1_WPF_wg_przeplywow!M9</f>
        <v>0</v>
      </c>
      <c r="N8" s="71">
        <f>+Zal_1_WPF_wg_przeplywow!N9</f>
        <v>0</v>
      </c>
      <c r="O8" s="71">
        <f>+Zal_1_WPF_wg_przeplywow!O9</f>
        <v>0</v>
      </c>
      <c r="P8" s="71">
        <f>+Zal_1_WPF_wg_przeplywow!P9</f>
        <v>0</v>
      </c>
      <c r="Q8" s="71">
        <f>+Zal_1_WPF_wg_przeplywow!Q9</f>
        <v>0</v>
      </c>
      <c r="R8" s="71">
        <f>+Zal_1_WPF_wg_przeplywow!R9</f>
        <v>0</v>
      </c>
      <c r="S8" s="71">
        <f>+Zal_1_WPF_wg_przeplywow!S9</f>
        <v>0</v>
      </c>
      <c r="T8" s="71">
        <f>+Zal_1_WPF_wg_przeplywow!T9</f>
        <v>0</v>
      </c>
      <c r="U8" s="71">
        <f>+Zal_1_WPF_wg_przeplywow!U9</f>
        <v>0</v>
      </c>
      <c r="V8" s="71">
        <f>+Zal_1_WPF_wg_przeplywow!V9</f>
        <v>0</v>
      </c>
      <c r="W8" s="71">
        <f>+Zal_1_WPF_wg_przeplywow!W9</f>
        <v>0</v>
      </c>
      <c r="X8" s="71">
        <f>+Zal_1_WPF_wg_przeplywow!X9</f>
        <v>0</v>
      </c>
      <c r="Y8" s="71">
        <f>+Zal_1_WPF_wg_przeplywow!Y9</f>
        <v>0</v>
      </c>
      <c r="Z8" s="71">
        <f>+Zal_1_WPF_wg_przeplywow!Z9</f>
        <v>0</v>
      </c>
      <c r="AA8" s="71">
        <f>+Zal_1_WPF_wg_przeplywow!AA9</f>
        <v>0</v>
      </c>
      <c r="AB8" s="71">
        <f>+Zal_1_WPF_wg_przeplywow!AB9</f>
        <v>0</v>
      </c>
      <c r="AC8" s="71">
        <f>+Zal_1_WPF_wg_przeplywow!AC9</f>
        <v>0</v>
      </c>
      <c r="AD8" s="71">
        <f>+Zal_1_WPF_wg_przeplywow!AD9</f>
        <v>0</v>
      </c>
      <c r="AE8" s="71">
        <f>+Zal_1_WPF_wg_przeplywow!AE9</f>
        <v>0</v>
      </c>
      <c r="AF8" s="71">
        <f>+Zal_1_WPF_wg_przeplywow!AF9</f>
        <v>0</v>
      </c>
      <c r="AG8" s="71">
        <f>+Zal_1_WPF_wg_przeplywow!AG9</f>
        <v>0</v>
      </c>
      <c r="AH8" s="71">
        <f>+Zal_1_WPF_wg_przeplywow!AH9</f>
        <v>0</v>
      </c>
      <c r="AI8" s="71">
        <f>+Zal_1_WPF_wg_przeplywow!AI9</f>
        <v>0</v>
      </c>
      <c r="AJ8" s="71">
        <f>+Zal_1_WPF_wg_przeplywow!AJ9</f>
        <v>0</v>
      </c>
      <c r="AK8" s="71">
        <f>+Zal_1_WPF_wg_przeplywow!AK9</f>
        <v>0</v>
      </c>
      <c r="AL8" s="71">
        <f>+Zal_1_WPF_wg_przeplywow!AL9</f>
        <v>0</v>
      </c>
      <c r="AM8" s="71">
        <f>+Zal_1_WPF_wg_przeplywow!AM9</f>
        <v>0</v>
      </c>
      <c r="AN8" s="71">
        <f>+Zal_1_WPF_wg_przeplywow!AN9</f>
        <v>0</v>
      </c>
      <c r="AO8" s="71">
        <f>+Zal_1_WPF_wg_przeplywow!AO9</f>
        <v>0</v>
      </c>
    </row>
    <row r="9" spans="1:41" ht="12">
      <c r="A9" s="69"/>
      <c r="B9" s="70" t="s">
        <v>87</v>
      </c>
      <c r="C9" s="71">
        <f>+Zal_1_WPF_wg_przeplywow!C10</f>
        <v>3371624</v>
      </c>
      <c r="D9" s="71">
        <f>+Zal_1_WPF_wg_przeplywow!D10</f>
        <v>1515000</v>
      </c>
      <c r="E9" s="71">
        <f>+Zal_1_WPF_wg_przeplywow!E10</f>
        <v>1515000</v>
      </c>
      <c r="F9" s="71">
        <f>+Zal_1_WPF_wg_przeplywow!F10</f>
        <v>1515000</v>
      </c>
      <c r="G9" s="71">
        <f>+Zal_1_WPF_wg_przeplywow!G10</f>
        <v>1615313</v>
      </c>
      <c r="H9" s="71">
        <f>+Zal_1_WPF_wg_przeplywow!H10</f>
        <v>0</v>
      </c>
      <c r="I9" s="71">
        <f>+Zal_1_WPF_wg_przeplywow!I10</f>
        <v>0</v>
      </c>
      <c r="J9" s="71">
        <f>+Zal_1_WPF_wg_przeplywow!J10</f>
        <v>0</v>
      </c>
      <c r="K9" s="71">
        <f>+Zal_1_WPF_wg_przeplywow!K10</f>
        <v>0</v>
      </c>
      <c r="L9" s="71">
        <f>+Zal_1_WPF_wg_przeplywow!L10</f>
        <v>0</v>
      </c>
      <c r="M9" s="71">
        <f>+Zal_1_WPF_wg_przeplywow!M10</f>
        <v>0</v>
      </c>
      <c r="N9" s="71">
        <f>+Zal_1_WPF_wg_przeplywow!N10</f>
        <v>0</v>
      </c>
      <c r="O9" s="71">
        <f>+Zal_1_WPF_wg_przeplywow!O10</f>
        <v>0</v>
      </c>
      <c r="P9" s="71">
        <f>+Zal_1_WPF_wg_przeplywow!P10</f>
        <v>0</v>
      </c>
      <c r="Q9" s="71">
        <f>+Zal_1_WPF_wg_przeplywow!Q10</f>
        <v>0</v>
      </c>
      <c r="R9" s="71">
        <f>+Zal_1_WPF_wg_przeplywow!R10</f>
        <v>0</v>
      </c>
      <c r="S9" s="71">
        <f>+Zal_1_WPF_wg_przeplywow!S10</f>
        <v>0</v>
      </c>
      <c r="T9" s="71">
        <f>+Zal_1_WPF_wg_przeplywow!T10</f>
        <v>0</v>
      </c>
      <c r="U9" s="71">
        <f>+Zal_1_WPF_wg_przeplywow!U10</f>
        <v>0</v>
      </c>
      <c r="V9" s="71">
        <f>+Zal_1_WPF_wg_przeplywow!V10</f>
        <v>0</v>
      </c>
      <c r="W9" s="71">
        <f>+Zal_1_WPF_wg_przeplywow!W10</f>
        <v>0</v>
      </c>
      <c r="X9" s="71">
        <f>+Zal_1_WPF_wg_przeplywow!X10</f>
        <v>0</v>
      </c>
      <c r="Y9" s="71">
        <f>+Zal_1_WPF_wg_przeplywow!Y10</f>
        <v>0</v>
      </c>
      <c r="Z9" s="71">
        <f>+Zal_1_WPF_wg_przeplywow!Z10</f>
        <v>0</v>
      </c>
      <c r="AA9" s="71">
        <f>+Zal_1_WPF_wg_przeplywow!AA10</f>
        <v>0</v>
      </c>
      <c r="AB9" s="71">
        <f>+Zal_1_WPF_wg_przeplywow!AB10</f>
        <v>0</v>
      </c>
      <c r="AC9" s="71">
        <f>+Zal_1_WPF_wg_przeplywow!AC10</f>
        <v>0</v>
      </c>
      <c r="AD9" s="71">
        <f>+Zal_1_WPF_wg_przeplywow!AD10</f>
        <v>0</v>
      </c>
      <c r="AE9" s="71">
        <f>+Zal_1_WPF_wg_przeplywow!AE10</f>
        <v>0</v>
      </c>
      <c r="AF9" s="71">
        <f>+Zal_1_WPF_wg_przeplywow!AF10</f>
        <v>0</v>
      </c>
      <c r="AG9" s="71">
        <f>+Zal_1_WPF_wg_przeplywow!AG10</f>
        <v>0</v>
      </c>
      <c r="AH9" s="71">
        <f>+Zal_1_WPF_wg_przeplywow!AH10</f>
        <v>0</v>
      </c>
      <c r="AI9" s="71">
        <f>+Zal_1_WPF_wg_przeplywow!AI10</f>
        <v>0</v>
      </c>
      <c r="AJ9" s="71">
        <f>+Zal_1_WPF_wg_przeplywow!AJ10</f>
        <v>0</v>
      </c>
      <c r="AK9" s="71">
        <f>+Zal_1_WPF_wg_przeplywow!AK10</f>
        <v>0</v>
      </c>
      <c r="AL9" s="71">
        <f>+Zal_1_WPF_wg_przeplywow!AL10</f>
        <v>0</v>
      </c>
      <c r="AM9" s="71">
        <f>+Zal_1_WPF_wg_przeplywow!AM10</f>
        <v>0</v>
      </c>
      <c r="AN9" s="71">
        <f>+Zal_1_WPF_wg_przeplywow!AN10</f>
        <v>0</v>
      </c>
      <c r="AO9" s="71">
        <f>+Zal_1_WPF_wg_przeplywow!AO10</f>
        <v>0</v>
      </c>
    </row>
    <row r="10" spans="1:41" ht="12">
      <c r="A10" s="69"/>
      <c r="B10" s="73" t="s">
        <v>88</v>
      </c>
      <c r="C10" s="71">
        <f>+Zal_1_WPF_wg_przeplywow!C11</f>
        <v>0</v>
      </c>
      <c r="D10" s="71">
        <f>+Zal_1_WPF_wg_przeplywow!D11</f>
        <v>0</v>
      </c>
      <c r="E10" s="71">
        <f>+Zal_1_WPF_wg_przeplywow!E11</f>
        <v>0</v>
      </c>
      <c r="F10" s="71">
        <f>+Zal_1_WPF_wg_przeplywow!F11</f>
        <v>0</v>
      </c>
      <c r="G10" s="71">
        <f>+Zal_1_WPF_wg_przeplywow!G11</f>
        <v>0</v>
      </c>
      <c r="H10" s="71">
        <f>+Zal_1_WPF_wg_przeplywow!H11</f>
        <v>0</v>
      </c>
      <c r="I10" s="71">
        <f>+Zal_1_WPF_wg_przeplywow!I11</f>
        <v>0</v>
      </c>
      <c r="J10" s="71">
        <f>+Zal_1_WPF_wg_przeplywow!J11</f>
        <v>0</v>
      </c>
      <c r="K10" s="71">
        <f>+Zal_1_WPF_wg_przeplywow!K11</f>
        <v>0</v>
      </c>
      <c r="L10" s="71">
        <f>+Zal_1_WPF_wg_przeplywow!L11</f>
        <v>0</v>
      </c>
      <c r="M10" s="71">
        <f>+Zal_1_WPF_wg_przeplywow!M11</f>
        <v>0</v>
      </c>
      <c r="N10" s="71">
        <f>+Zal_1_WPF_wg_przeplywow!N11</f>
        <v>0</v>
      </c>
      <c r="O10" s="71">
        <f>+Zal_1_WPF_wg_przeplywow!O11</f>
        <v>0</v>
      </c>
      <c r="P10" s="71">
        <f>+Zal_1_WPF_wg_przeplywow!P11</f>
        <v>0</v>
      </c>
      <c r="Q10" s="71">
        <f>+Zal_1_WPF_wg_przeplywow!Q11</f>
        <v>0</v>
      </c>
      <c r="R10" s="71">
        <f>+Zal_1_WPF_wg_przeplywow!R11</f>
        <v>0</v>
      </c>
      <c r="S10" s="71">
        <f>+Zal_1_WPF_wg_przeplywow!S11</f>
        <v>0</v>
      </c>
      <c r="T10" s="71">
        <f>+Zal_1_WPF_wg_przeplywow!T11</f>
        <v>0</v>
      </c>
      <c r="U10" s="71">
        <f>+Zal_1_WPF_wg_przeplywow!U11</f>
        <v>0</v>
      </c>
      <c r="V10" s="71">
        <f>+Zal_1_WPF_wg_przeplywow!V11</f>
        <v>0</v>
      </c>
      <c r="W10" s="71">
        <f>+Zal_1_WPF_wg_przeplywow!W11</f>
        <v>0</v>
      </c>
      <c r="X10" s="71">
        <f>+Zal_1_WPF_wg_przeplywow!X11</f>
        <v>0</v>
      </c>
      <c r="Y10" s="71">
        <f>+Zal_1_WPF_wg_przeplywow!Y11</f>
        <v>0</v>
      </c>
      <c r="Z10" s="71">
        <f>+Zal_1_WPF_wg_przeplywow!Z11</f>
        <v>0</v>
      </c>
      <c r="AA10" s="71">
        <f>+Zal_1_WPF_wg_przeplywow!AA11</f>
        <v>0</v>
      </c>
      <c r="AB10" s="71">
        <f>+Zal_1_WPF_wg_przeplywow!AB11</f>
        <v>0</v>
      </c>
      <c r="AC10" s="71">
        <f>+Zal_1_WPF_wg_przeplywow!AC11</f>
        <v>0</v>
      </c>
      <c r="AD10" s="71">
        <f>+Zal_1_WPF_wg_przeplywow!AD11</f>
        <v>0</v>
      </c>
      <c r="AE10" s="71">
        <f>+Zal_1_WPF_wg_przeplywow!AE11</f>
        <v>0</v>
      </c>
      <c r="AF10" s="71">
        <f>+Zal_1_WPF_wg_przeplywow!AF11</f>
        <v>0</v>
      </c>
      <c r="AG10" s="71">
        <f>+Zal_1_WPF_wg_przeplywow!AG11</f>
        <v>0</v>
      </c>
      <c r="AH10" s="71">
        <f>+Zal_1_WPF_wg_przeplywow!AH11</f>
        <v>0</v>
      </c>
      <c r="AI10" s="71">
        <f>+Zal_1_WPF_wg_przeplywow!AI11</f>
        <v>0</v>
      </c>
      <c r="AJ10" s="71">
        <f>+Zal_1_WPF_wg_przeplywow!AJ11</f>
        <v>0</v>
      </c>
      <c r="AK10" s="71">
        <f>+Zal_1_WPF_wg_przeplywow!AK11</f>
        <v>0</v>
      </c>
      <c r="AL10" s="71">
        <f>+Zal_1_WPF_wg_przeplywow!AL11</f>
        <v>0</v>
      </c>
      <c r="AM10" s="71">
        <f>+Zal_1_WPF_wg_przeplywow!AM11</f>
        <v>0</v>
      </c>
      <c r="AN10" s="71">
        <f>+Zal_1_WPF_wg_przeplywow!AN11</f>
        <v>0</v>
      </c>
      <c r="AO10" s="71">
        <f>+Zal_1_WPF_wg_przeplywow!AO11</f>
        <v>0</v>
      </c>
    </row>
    <row r="11" spans="1:41" ht="12">
      <c r="A11" s="83"/>
      <c r="B11" s="86" t="s">
        <v>89</v>
      </c>
      <c r="C11" s="85">
        <f>+Zal_1_WPF_wg_przeplywow!C12</f>
        <v>1772800</v>
      </c>
      <c r="D11" s="85">
        <f>+Zal_1_WPF_wg_przeplywow!D12</f>
        <v>1515000</v>
      </c>
      <c r="E11" s="85">
        <f>+Zal_1_WPF_wg_przeplywow!E12</f>
        <v>1515000</v>
      </c>
      <c r="F11" s="85">
        <f>+Zal_1_WPF_wg_przeplywow!F12</f>
        <v>1515000</v>
      </c>
      <c r="G11" s="85">
        <f>+Zal_1_WPF_wg_przeplywow!G12</f>
        <v>1615313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  <c r="L11" s="85">
        <f>+Zal_1_WPF_wg_przeplywow!L12</f>
        <v>0</v>
      </c>
      <c r="M11" s="85">
        <f>+Zal_1_WPF_wg_przeplywow!M12</f>
        <v>0</v>
      </c>
      <c r="N11" s="85">
        <f>+Zal_1_WPF_wg_przeplywow!N12</f>
        <v>0</v>
      </c>
      <c r="O11" s="85">
        <f>+Zal_1_WPF_wg_przeplywow!O12</f>
        <v>0</v>
      </c>
      <c r="P11" s="85">
        <f>+Zal_1_WPF_wg_przeplywow!P12</f>
        <v>0</v>
      </c>
      <c r="Q11" s="85">
        <f>+Zal_1_WPF_wg_przeplywow!Q12</f>
        <v>0</v>
      </c>
      <c r="R11" s="85">
        <f>+Zal_1_WPF_wg_przeplywow!R12</f>
        <v>0</v>
      </c>
      <c r="S11" s="85">
        <f>+Zal_1_WPF_wg_przeplywow!S12</f>
        <v>0</v>
      </c>
      <c r="T11" s="85">
        <f>+Zal_1_WPF_wg_przeplywow!T12</f>
        <v>0</v>
      </c>
      <c r="U11" s="85">
        <f>+Zal_1_WPF_wg_przeplywow!U12</f>
        <v>0</v>
      </c>
      <c r="V11" s="85">
        <f>+Zal_1_WPF_wg_przeplywow!V12</f>
        <v>0</v>
      </c>
      <c r="W11" s="85">
        <f>+Zal_1_WPF_wg_przeplywow!W12</f>
        <v>0</v>
      </c>
      <c r="X11" s="85">
        <f>+Zal_1_WPF_wg_przeplywow!X12</f>
        <v>0</v>
      </c>
      <c r="Y11" s="85">
        <f>+Zal_1_WPF_wg_przeplywow!Y12</f>
        <v>0</v>
      </c>
      <c r="Z11" s="85">
        <f>+Zal_1_WPF_wg_przeplywow!Z12</f>
        <v>0</v>
      </c>
      <c r="AA11" s="85">
        <f>+Zal_1_WPF_wg_przeplywow!AA12</f>
        <v>0</v>
      </c>
      <c r="AB11" s="85">
        <f>+Zal_1_WPF_wg_przeplywow!AB12</f>
        <v>0</v>
      </c>
      <c r="AC11" s="85">
        <f>+Zal_1_WPF_wg_przeplywow!AC12</f>
        <v>0</v>
      </c>
      <c r="AD11" s="85">
        <f>+Zal_1_WPF_wg_przeplywow!AD12</f>
        <v>0</v>
      </c>
      <c r="AE11" s="85">
        <f>+Zal_1_WPF_wg_przeplywow!AE12</f>
        <v>0</v>
      </c>
      <c r="AF11" s="85">
        <f>+Zal_1_WPF_wg_przeplywow!AF12</f>
        <v>0</v>
      </c>
      <c r="AG11" s="85">
        <f>+Zal_1_WPF_wg_przeplywow!AG12</f>
        <v>0</v>
      </c>
      <c r="AH11" s="85">
        <f>+Zal_1_WPF_wg_przeplywow!AH12</f>
        <v>0</v>
      </c>
      <c r="AI11" s="85">
        <f>+Zal_1_WPF_wg_przeplywow!AI12</f>
        <v>0</v>
      </c>
      <c r="AJ11" s="85">
        <f>+Zal_1_WPF_wg_przeplywow!AJ12</f>
        <v>0</v>
      </c>
      <c r="AK11" s="85">
        <f>+Zal_1_WPF_wg_przeplywow!AK12</f>
        <v>0</v>
      </c>
      <c r="AL11" s="85">
        <f>+Zal_1_WPF_wg_przeplywow!AL12</f>
        <v>0</v>
      </c>
      <c r="AM11" s="85">
        <f>+Zal_1_WPF_wg_przeplywow!AM12</f>
        <v>0</v>
      </c>
      <c r="AN11" s="85">
        <f>+Zal_1_WPF_wg_przeplywow!AN12</f>
        <v>0</v>
      </c>
      <c r="AO11" s="85">
        <f>+Zal_1_WPF_wg_przeplywow!AO12</f>
        <v>0</v>
      </c>
    </row>
    <row r="12" spans="1:41" s="4" customFormat="1" ht="12.75" thickBot="1">
      <c r="A12" s="66" t="s">
        <v>2</v>
      </c>
      <c r="B12" s="67" t="s">
        <v>46</v>
      </c>
      <c r="C12" s="68">
        <f>+C13+C20</f>
        <v>32490277.19</v>
      </c>
      <c r="D12" s="68">
        <f aca="true" t="shared" si="2" ref="D12:AD12">+D13+D20</f>
        <v>30653233</v>
      </c>
      <c r="E12" s="68">
        <f t="shared" si="2"/>
        <v>31419737</v>
      </c>
      <c r="F12" s="68">
        <f t="shared" si="2"/>
        <v>32104008</v>
      </c>
      <c r="G12" s="68">
        <f t="shared" si="2"/>
        <v>33160491</v>
      </c>
      <c r="H12" s="68">
        <f t="shared" si="2"/>
        <v>31297479</v>
      </c>
      <c r="I12" s="68">
        <f t="shared" si="2"/>
        <v>31928223</v>
      </c>
      <c r="J12" s="68">
        <f t="shared" si="2"/>
        <v>32544570</v>
      </c>
      <c r="K12" s="68">
        <f t="shared" si="2"/>
        <v>34741407</v>
      </c>
      <c r="L12" s="68">
        <f t="shared" si="2"/>
        <v>34453073</v>
      </c>
      <c r="M12" s="68">
        <f t="shared" si="2"/>
        <v>36436603</v>
      </c>
      <c r="N12" s="68">
        <f t="shared" si="2"/>
        <v>0</v>
      </c>
      <c r="O12" s="68">
        <f t="shared" si="2"/>
        <v>0</v>
      </c>
      <c r="P12" s="68">
        <f t="shared" si="2"/>
        <v>0</v>
      </c>
      <c r="Q12" s="68">
        <f t="shared" si="2"/>
        <v>0</v>
      </c>
      <c r="R12" s="68">
        <f t="shared" si="2"/>
        <v>0</v>
      </c>
      <c r="S12" s="68">
        <f t="shared" si="2"/>
        <v>0</v>
      </c>
      <c r="T12" s="68">
        <f t="shared" si="2"/>
        <v>0</v>
      </c>
      <c r="U12" s="68">
        <f t="shared" si="2"/>
        <v>0</v>
      </c>
      <c r="V12" s="68">
        <f t="shared" si="2"/>
        <v>0</v>
      </c>
      <c r="W12" s="68">
        <f t="shared" si="2"/>
        <v>0</v>
      </c>
      <c r="X12" s="68">
        <f t="shared" si="2"/>
        <v>0</v>
      </c>
      <c r="Y12" s="68">
        <f t="shared" si="2"/>
        <v>0</v>
      </c>
      <c r="Z12" s="68">
        <f t="shared" si="2"/>
        <v>0</v>
      </c>
      <c r="AA12" s="68">
        <f t="shared" si="2"/>
        <v>0</v>
      </c>
      <c r="AB12" s="68">
        <f t="shared" si="2"/>
        <v>0</v>
      </c>
      <c r="AC12" s="68">
        <f t="shared" si="2"/>
        <v>0</v>
      </c>
      <c r="AD12" s="68">
        <f t="shared" si="2"/>
        <v>0</v>
      </c>
      <c r="AE12" s="68">
        <f aca="true" t="shared" si="3" ref="AE12:AO12">+AE13+AE20</f>
        <v>0</v>
      </c>
      <c r="AF12" s="68">
        <f t="shared" si="3"/>
        <v>0</v>
      </c>
      <c r="AG12" s="68">
        <f t="shared" si="3"/>
        <v>0</v>
      </c>
      <c r="AH12" s="68">
        <f t="shared" si="3"/>
        <v>0</v>
      </c>
      <c r="AI12" s="68">
        <f t="shared" si="3"/>
        <v>0</v>
      </c>
      <c r="AJ12" s="68">
        <f t="shared" si="3"/>
        <v>0</v>
      </c>
      <c r="AK12" s="68">
        <f t="shared" si="3"/>
        <v>0</v>
      </c>
      <c r="AL12" s="68">
        <f t="shared" si="3"/>
        <v>0</v>
      </c>
      <c r="AM12" s="68">
        <f t="shared" si="3"/>
        <v>0</v>
      </c>
      <c r="AN12" s="68">
        <f t="shared" si="3"/>
        <v>0</v>
      </c>
      <c r="AO12" s="68">
        <f t="shared" si="3"/>
        <v>0</v>
      </c>
    </row>
    <row r="13" spans="1:246" s="30" customFormat="1" ht="12">
      <c r="A13" s="74"/>
      <c r="B13" s="70" t="s">
        <v>61</v>
      </c>
      <c r="C13" s="75">
        <f>+C14+C18</f>
        <v>26966574.89</v>
      </c>
      <c r="D13" s="75">
        <f aca="true" t="shared" si="4" ref="D13:AD13">+D14+D18</f>
        <v>27585233</v>
      </c>
      <c r="E13" s="75">
        <f t="shared" si="4"/>
        <v>28351737</v>
      </c>
      <c r="F13" s="75">
        <f t="shared" si="4"/>
        <v>29036008</v>
      </c>
      <c r="G13" s="75">
        <f t="shared" si="4"/>
        <v>29788344</v>
      </c>
      <c r="H13" s="75">
        <f t="shared" si="4"/>
        <v>30366241</v>
      </c>
      <c r="I13" s="75">
        <f t="shared" si="4"/>
        <v>31221747</v>
      </c>
      <c r="J13" s="75">
        <f t="shared" si="4"/>
        <v>31702291</v>
      </c>
      <c r="K13" s="75">
        <f t="shared" si="4"/>
        <v>33131348</v>
      </c>
      <c r="L13" s="75">
        <f t="shared" si="4"/>
        <v>33556802</v>
      </c>
      <c r="M13" s="75">
        <f t="shared" si="4"/>
        <v>34328608</v>
      </c>
      <c r="N13" s="75">
        <f t="shared" si="4"/>
        <v>0</v>
      </c>
      <c r="O13" s="75">
        <f t="shared" si="4"/>
        <v>0</v>
      </c>
      <c r="P13" s="75">
        <f t="shared" si="4"/>
        <v>0</v>
      </c>
      <c r="Q13" s="75">
        <f t="shared" si="4"/>
        <v>0</v>
      </c>
      <c r="R13" s="75">
        <f t="shared" si="4"/>
        <v>0</v>
      </c>
      <c r="S13" s="75">
        <f t="shared" si="4"/>
        <v>0</v>
      </c>
      <c r="T13" s="75">
        <f t="shared" si="4"/>
        <v>0</v>
      </c>
      <c r="U13" s="75">
        <f t="shared" si="4"/>
        <v>0</v>
      </c>
      <c r="V13" s="75">
        <f t="shared" si="4"/>
        <v>0</v>
      </c>
      <c r="W13" s="75">
        <f t="shared" si="4"/>
        <v>0</v>
      </c>
      <c r="X13" s="75">
        <f t="shared" si="4"/>
        <v>0</v>
      </c>
      <c r="Y13" s="75">
        <f t="shared" si="4"/>
        <v>0</v>
      </c>
      <c r="Z13" s="75">
        <f t="shared" si="4"/>
        <v>0</v>
      </c>
      <c r="AA13" s="75">
        <f t="shared" si="4"/>
        <v>0</v>
      </c>
      <c r="AB13" s="75">
        <f t="shared" si="4"/>
        <v>0</v>
      </c>
      <c r="AC13" s="75">
        <f t="shared" si="4"/>
        <v>0</v>
      </c>
      <c r="AD13" s="75">
        <f t="shared" si="4"/>
        <v>0</v>
      </c>
      <c r="AE13" s="75">
        <f aca="true" t="shared" si="5" ref="AE13:AO13">+AE14+AE18</f>
        <v>0</v>
      </c>
      <c r="AF13" s="75">
        <f t="shared" si="5"/>
        <v>0</v>
      </c>
      <c r="AG13" s="75">
        <f t="shared" si="5"/>
        <v>0</v>
      </c>
      <c r="AH13" s="75">
        <f t="shared" si="5"/>
        <v>0</v>
      </c>
      <c r="AI13" s="75">
        <f t="shared" si="5"/>
        <v>0</v>
      </c>
      <c r="AJ13" s="75">
        <f t="shared" si="5"/>
        <v>0</v>
      </c>
      <c r="AK13" s="75">
        <f t="shared" si="5"/>
        <v>0</v>
      </c>
      <c r="AL13" s="75">
        <f t="shared" si="5"/>
        <v>0</v>
      </c>
      <c r="AM13" s="75">
        <f t="shared" si="5"/>
        <v>0</v>
      </c>
      <c r="AN13" s="75">
        <f t="shared" si="5"/>
        <v>0</v>
      </c>
      <c r="AO13" s="75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4"/>
      <c r="B14" s="72" t="s">
        <v>92</v>
      </c>
      <c r="C14" s="75">
        <f>+Zal_1_WPF_wg_przeplywow!C13</f>
        <v>26330574.89</v>
      </c>
      <c r="D14" s="75">
        <f>+Zal_1_WPF_wg_przeplywow!D13</f>
        <v>26865233</v>
      </c>
      <c r="E14" s="75">
        <f>+Zal_1_WPF_wg_przeplywow!E13</f>
        <v>27741737</v>
      </c>
      <c r="F14" s="75">
        <f>+Zal_1_WPF_wg_przeplywow!F13</f>
        <v>28496008</v>
      </c>
      <c r="G14" s="75">
        <f>+Zal_1_WPF_wg_przeplywow!G13</f>
        <v>29288344</v>
      </c>
      <c r="H14" s="75">
        <f>+Zal_1_WPF_wg_przeplywow!H13</f>
        <v>30016241</v>
      </c>
      <c r="I14" s="75">
        <f>+Zal_1_WPF_wg_przeplywow!I13</f>
        <v>30971747</v>
      </c>
      <c r="J14" s="75">
        <f>+Zal_1_WPF_wg_przeplywow!J13</f>
        <v>31582291</v>
      </c>
      <c r="K14" s="75">
        <f>+Zal_1_WPF_wg_przeplywow!K13</f>
        <v>32914948</v>
      </c>
      <c r="L14" s="75">
        <f>+Zal_1_WPF_wg_przeplywow!L13</f>
        <v>33426802</v>
      </c>
      <c r="M14" s="75">
        <f>+Zal_1_WPF_wg_przeplywow!M13</f>
        <v>34208608</v>
      </c>
      <c r="N14" s="75">
        <f>+Zal_1_WPF_wg_przeplywow!N13</f>
        <v>0</v>
      </c>
      <c r="O14" s="75">
        <f>+Zal_1_WPF_wg_przeplywow!O13</f>
        <v>0</v>
      </c>
      <c r="P14" s="75">
        <f>+Zal_1_WPF_wg_przeplywow!P13</f>
        <v>0</v>
      </c>
      <c r="Q14" s="75">
        <f>+Zal_1_WPF_wg_przeplywow!Q13</f>
        <v>0</v>
      </c>
      <c r="R14" s="75">
        <f>+Zal_1_WPF_wg_przeplywow!R13</f>
        <v>0</v>
      </c>
      <c r="S14" s="75">
        <f>+Zal_1_WPF_wg_przeplywow!S13</f>
        <v>0</v>
      </c>
      <c r="T14" s="75">
        <f>+Zal_1_WPF_wg_przeplywow!T13</f>
        <v>0</v>
      </c>
      <c r="U14" s="75">
        <f>+Zal_1_WPF_wg_przeplywow!U13</f>
        <v>0</v>
      </c>
      <c r="V14" s="75">
        <f>+Zal_1_WPF_wg_przeplywow!V13</f>
        <v>0</v>
      </c>
      <c r="W14" s="75">
        <f>+Zal_1_WPF_wg_przeplywow!W13</f>
        <v>0</v>
      </c>
      <c r="X14" s="75">
        <f>+Zal_1_WPF_wg_przeplywow!X13</f>
        <v>0</v>
      </c>
      <c r="Y14" s="75">
        <f>+Zal_1_WPF_wg_przeplywow!Y13</f>
        <v>0</v>
      </c>
      <c r="Z14" s="75">
        <f>+Zal_1_WPF_wg_przeplywow!Z13</f>
        <v>0</v>
      </c>
      <c r="AA14" s="75">
        <f>+Zal_1_WPF_wg_przeplywow!AA13</f>
        <v>0</v>
      </c>
      <c r="AB14" s="75">
        <f>+Zal_1_WPF_wg_przeplywow!AB13</f>
        <v>0</v>
      </c>
      <c r="AC14" s="75">
        <f>+Zal_1_WPF_wg_przeplywow!AC13</f>
        <v>0</v>
      </c>
      <c r="AD14" s="75">
        <f>+Zal_1_WPF_wg_przeplywow!AD13</f>
        <v>0</v>
      </c>
      <c r="AE14" s="75">
        <f>+Zal_1_WPF_wg_przeplywow!AE13</f>
        <v>0</v>
      </c>
      <c r="AF14" s="75">
        <f>+Zal_1_WPF_wg_przeplywow!AF13</f>
        <v>0</v>
      </c>
      <c r="AG14" s="75">
        <f>+Zal_1_WPF_wg_przeplywow!AG13</f>
        <v>0</v>
      </c>
      <c r="AH14" s="75">
        <f>+Zal_1_WPF_wg_przeplywow!AH13</f>
        <v>0</v>
      </c>
      <c r="AI14" s="75">
        <f>+Zal_1_WPF_wg_przeplywow!AI13</f>
        <v>0</v>
      </c>
      <c r="AJ14" s="75">
        <f>+Zal_1_WPF_wg_przeplywow!AJ13</f>
        <v>0</v>
      </c>
      <c r="AK14" s="75">
        <f>+Zal_1_WPF_wg_przeplywow!AK13</f>
        <v>0</v>
      </c>
      <c r="AL14" s="75">
        <f>+Zal_1_WPF_wg_przeplywow!AL13</f>
        <v>0</v>
      </c>
      <c r="AM14" s="75">
        <f>+Zal_1_WPF_wg_przeplywow!AM13</f>
        <v>0</v>
      </c>
      <c r="AN14" s="75">
        <f>+Zal_1_WPF_wg_przeplywow!AN13</f>
        <v>0</v>
      </c>
      <c r="AO14" s="75">
        <f>+Zal_1_WPF_wg_przeplywow!AO13</f>
        <v>0</v>
      </c>
    </row>
    <row r="15" spans="1:41" ht="24">
      <c r="A15" s="69"/>
      <c r="B15" s="76" t="s">
        <v>156</v>
      </c>
      <c r="C15" s="75">
        <f>+Zal_1_WPF_wg_przeplywow!C19</f>
        <v>147420</v>
      </c>
      <c r="D15" s="75">
        <f>+Zal_1_WPF_wg_przeplywow!D19</f>
        <v>190000</v>
      </c>
      <c r="E15" s="75">
        <f>+Zal_1_WPF_wg_przeplywow!E19</f>
        <v>200000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  <c r="L15" s="75">
        <f>+Zal_1_WPF_wg_przeplywow!L19</f>
        <v>0</v>
      </c>
      <c r="M15" s="75">
        <f>+Zal_1_WPF_wg_przeplywow!M19</f>
        <v>0</v>
      </c>
      <c r="N15" s="75">
        <f>+Zal_1_WPF_wg_przeplywow!N19</f>
        <v>0</v>
      </c>
      <c r="O15" s="75">
        <f>+Zal_1_WPF_wg_przeplywow!O19</f>
        <v>0</v>
      </c>
      <c r="P15" s="75">
        <f>+Zal_1_WPF_wg_przeplywow!P19</f>
        <v>0</v>
      </c>
      <c r="Q15" s="75">
        <f>+Zal_1_WPF_wg_przeplywow!Q19</f>
        <v>0</v>
      </c>
      <c r="R15" s="75">
        <f>+Zal_1_WPF_wg_przeplywow!R19</f>
        <v>0</v>
      </c>
      <c r="S15" s="75">
        <f>+Zal_1_WPF_wg_przeplywow!S19</f>
        <v>0</v>
      </c>
      <c r="T15" s="75">
        <f>+Zal_1_WPF_wg_przeplywow!T19</f>
        <v>0</v>
      </c>
      <c r="U15" s="75">
        <f>+Zal_1_WPF_wg_przeplywow!U19</f>
        <v>0</v>
      </c>
      <c r="V15" s="75">
        <f>+Zal_1_WPF_wg_przeplywow!V19</f>
        <v>0</v>
      </c>
      <c r="W15" s="75">
        <f>+Zal_1_WPF_wg_przeplywow!W19</f>
        <v>0</v>
      </c>
      <c r="X15" s="75">
        <f>+Zal_1_WPF_wg_przeplywow!X19</f>
        <v>0</v>
      </c>
      <c r="Y15" s="75">
        <f>+Zal_1_WPF_wg_przeplywow!Y19</f>
        <v>0</v>
      </c>
      <c r="Z15" s="75">
        <f>+Zal_1_WPF_wg_przeplywow!Z19</f>
        <v>0</v>
      </c>
      <c r="AA15" s="75">
        <f>+Zal_1_WPF_wg_przeplywow!AA19</f>
        <v>0</v>
      </c>
      <c r="AB15" s="75">
        <f>+Zal_1_WPF_wg_przeplywow!AB19</f>
        <v>0</v>
      </c>
      <c r="AC15" s="75">
        <f>+Zal_1_WPF_wg_przeplywow!AC19</f>
        <v>0</v>
      </c>
      <c r="AD15" s="75">
        <f>+Zal_1_WPF_wg_przeplywow!AD19</f>
        <v>0</v>
      </c>
      <c r="AE15" s="75">
        <f>+Zal_1_WPF_wg_przeplywow!AE19</f>
        <v>0</v>
      </c>
      <c r="AF15" s="75">
        <f>+Zal_1_WPF_wg_przeplywow!AF19</f>
        <v>0</v>
      </c>
      <c r="AG15" s="75">
        <f>+Zal_1_WPF_wg_przeplywow!AG19</f>
        <v>0</v>
      </c>
      <c r="AH15" s="75">
        <f>+Zal_1_WPF_wg_przeplywow!AH19</f>
        <v>0</v>
      </c>
      <c r="AI15" s="75">
        <f>+Zal_1_WPF_wg_przeplywow!AI19</f>
        <v>0</v>
      </c>
      <c r="AJ15" s="75">
        <f>+Zal_1_WPF_wg_przeplywow!AJ19</f>
        <v>0</v>
      </c>
      <c r="AK15" s="75">
        <f>+Zal_1_WPF_wg_przeplywow!AK19</f>
        <v>0</v>
      </c>
      <c r="AL15" s="75">
        <f>+Zal_1_WPF_wg_przeplywow!AL19</f>
        <v>0</v>
      </c>
      <c r="AM15" s="75">
        <f>+Zal_1_WPF_wg_przeplywow!AM19</f>
        <v>0</v>
      </c>
      <c r="AN15" s="75">
        <f>+Zal_1_WPF_wg_przeplywow!AN19</f>
        <v>0</v>
      </c>
      <c r="AO15" s="75">
        <f>+Zal_1_WPF_wg_przeplywow!AO19</f>
        <v>0</v>
      </c>
    </row>
    <row r="16" spans="1:41" ht="12">
      <c r="A16" s="69"/>
      <c r="B16" s="76" t="s">
        <v>165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  <c r="K16" s="71">
        <f>+Zal_1_WPF_wg_przeplywow!K16</f>
        <v>0</v>
      </c>
      <c r="L16" s="71">
        <f>+Zal_1_WPF_wg_przeplywow!L16</f>
        <v>0</v>
      </c>
      <c r="M16" s="71">
        <f>+Zal_1_WPF_wg_przeplywow!M16</f>
        <v>0</v>
      </c>
      <c r="N16" s="71">
        <f>+Zal_1_WPF_wg_przeplywow!N16</f>
        <v>0</v>
      </c>
      <c r="O16" s="71">
        <f>+Zal_1_WPF_wg_przeplywow!O16</f>
        <v>0</v>
      </c>
      <c r="P16" s="71">
        <f>+Zal_1_WPF_wg_przeplywow!P16</f>
        <v>0</v>
      </c>
      <c r="Q16" s="71">
        <f>+Zal_1_WPF_wg_przeplywow!Q16</f>
        <v>0</v>
      </c>
      <c r="R16" s="71">
        <f>+Zal_1_WPF_wg_przeplywow!R16</f>
        <v>0</v>
      </c>
      <c r="S16" s="71">
        <f>+Zal_1_WPF_wg_przeplywow!S16</f>
        <v>0</v>
      </c>
      <c r="T16" s="71">
        <f>+Zal_1_WPF_wg_przeplywow!T16</f>
        <v>0</v>
      </c>
      <c r="U16" s="71">
        <f>+Zal_1_WPF_wg_przeplywow!U16</f>
        <v>0</v>
      </c>
      <c r="V16" s="71">
        <f>+Zal_1_WPF_wg_przeplywow!V16</f>
        <v>0</v>
      </c>
      <c r="W16" s="71">
        <f>+Zal_1_WPF_wg_przeplywow!W16</f>
        <v>0</v>
      </c>
      <c r="X16" s="71">
        <f>+Zal_1_WPF_wg_przeplywow!X16</f>
        <v>0</v>
      </c>
      <c r="Y16" s="71">
        <f>+Zal_1_WPF_wg_przeplywow!Y16</f>
        <v>0</v>
      </c>
      <c r="Z16" s="71">
        <f>+Zal_1_WPF_wg_przeplywow!Z16</f>
        <v>0</v>
      </c>
      <c r="AA16" s="71">
        <f>+Zal_1_WPF_wg_przeplywow!AA16</f>
        <v>0</v>
      </c>
      <c r="AB16" s="71">
        <f>+Zal_1_WPF_wg_przeplywow!AB16</f>
        <v>0</v>
      </c>
      <c r="AC16" s="71">
        <f>+Zal_1_WPF_wg_przeplywow!AC16</f>
        <v>0</v>
      </c>
      <c r="AD16" s="71">
        <f>+Zal_1_WPF_wg_przeplywow!AD16</f>
        <v>0</v>
      </c>
      <c r="AE16" s="71">
        <f>+Zal_1_WPF_wg_przeplywow!AE16</f>
        <v>0</v>
      </c>
      <c r="AF16" s="71">
        <f>+Zal_1_WPF_wg_przeplywow!AF16</f>
        <v>0</v>
      </c>
      <c r="AG16" s="71">
        <f>+Zal_1_WPF_wg_przeplywow!AG16</f>
        <v>0</v>
      </c>
      <c r="AH16" s="71">
        <f>+Zal_1_WPF_wg_przeplywow!AH16</f>
        <v>0</v>
      </c>
      <c r="AI16" s="71">
        <f>+Zal_1_WPF_wg_przeplywow!AI16</f>
        <v>0</v>
      </c>
      <c r="AJ16" s="71">
        <f>+Zal_1_WPF_wg_przeplywow!AJ16</f>
        <v>0</v>
      </c>
      <c r="AK16" s="71">
        <f>+Zal_1_WPF_wg_przeplywow!AK16</f>
        <v>0</v>
      </c>
      <c r="AL16" s="71">
        <f>+Zal_1_WPF_wg_przeplywow!AL16</f>
        <v>0</v>
      </c>
      <c r="AM16" s="71">
        <f>+Zal_1_WPF_wg_przeplywow!AM16</f>
        <v>0</v>
      </c>
      <c r="AN16" s="71">
        <f>+Zal_1_WPF_wg_przeplywow!AN16</f>
        <v>0</v>
      </c>
      <c r="AO16" s="71">
        <f>+Zal_1_WPF_wg_przeplywow!AO16</f>
        <v>0</v>
      </c>
    </row>
    <row r="17" spans="1:41" ht="24">
      <c r="A17" s="69"/>
      <c r="B17" s="77" t="s">
        <v>166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  <c r="L17" s="71">
        <f>+Zal_1_WPF_wg_przeplywow!L17</f>
        <v>0</v>
      </c>
      <c r="M17" s="71">
        <f>+Zal_1_WPF_wg_przeplywow!M17</f>
        <v>0</v>
      </c>
      <c r="N17" s="71">
        <f>+Zal_1_WPF_wg_przeplywow!N17</f>
        <v>0</v>
      </c>
      <c r="O17" s="71">
        <f>+Zal_1_WPF_wg_przeplywow!O17</f>
        <v>0</v>
      </c>
      <c r="P17" s="71">
        <f>+Zal_1_WPF_wg_przeplywow!P17</f>
        <v>0</v>
      </c>
      <c r="Q17" s="71">
        <f>+Zal_1_WPF_wg_przeplywow!Q17</f>
        <v>0</v>
      </c>
      <c r="R17" s="71">
        <f>+Zal_1_WPF_wg_przeplywow!R17</f>
        <v>0</v>
      </c>
      <c r="S17" s="71">
        <f>+Zal_1_WPF_wg_przeplywow!S17</f>
        <v>0</v>
      </c>
      <c r="T17" s="71">
        <f>+Zal_1_WPF_wg_przeplywow!T17</f>
        <v>0</v>
      </c>
      <c r="U17" s="71">
        <f>+Zal_1_WPF_wg_przeplywow!U17</f>
        <v>0</v>
      </c>
      <c r="V17" s="71">
        <f>+Zal_1_WPF_wg_przeplywow!V17</f>
        <v>0</v>
      </c>
      <c r="W17" s="71">
        <f>+Zal_1_WPF_wg_przeplywow!W17</f>
        <v>0</v>
      </c>
      <c r="X17" s="71">
        <f>+Zal_1_WPF_wg_przeplywow!X17</f>
        <v>0</v>
      </c>
      <c r="Y17" s="71">
        <f>+Zal_1_WPF_wg_przeplywow!Y17</f>
        <v>0</v>
      </c>
      <c r="Z17" s="71">
        <f>+Zal_1_WPF_wg_przeplywow!Z17</f>
        <v>0</v>
      </c>
      <c r="AA17" s="71">
        <f>+Zal_1_WPF_wg_przeplywow!AA17</f>
        <v>0</v>
      </c>
      <c r="AB17" s="71">
        <f>+Zal_1_WPF_wg_przeplywow!AB17</f>
        <v>0</v>
      </c>
      <c r="AC17" s="71">
        <f>+Zal_1_WPF_wg_przeplywow!AC17</f>
        <v>0</v>
      </c>
      <c r="AD17" s="71">
        <f>+Zal_1_WPF_wg_przeplywow!AD17</f>
        <v>0</v>
      </c>
      <c r="AE17" s="71">
        <f>+Zal_1_WPF_wg_przeplywow!AE17</f>
        <v>0</v>
      </c>
      <c r="AF17" s="71">
        <f>+Zal_1_WPF_wg_przeplywow!AF17</f>
        <v>0</v>
      </c>
      <c r="AG17" s="71">
        <f>+Zal_1_WPF_wg_przeplywow!AG17</f>
        <v>0</v>
      </c>
      <c r="AH17" s="71">
        <f>+Zal_1_WPF_wg_przeplywow!AH17</f>
        <v>0</v>
      </c>
      <c r="AI17" s="71">
        <f>+Zal_1_WPF_wg_przeplywow!AI17</f>
        <v>0</v>
      </c>
      <c r="AJ17" s="71">
        <f>+Zal_1_WPF_wg_przeplywow!AJ17</f>
        <v>0</v>
      </c>
      <c r="AK17" s="71">
        <f>+Zal_1_WPF_wg_przeplywow!AK17</f>
        <v>0</v>
      </c>
      <c r="AL17" s="71">
        <f>+Zal_1_WPF_wg_przeplywow!AL17</f>
        <v>0</v>
      </c>
      <c r="AM17" s="71">
        <f>+Zal_1_WPF_wg_przeplywow!AM17</f>
        <v>0</v>
      </c>
      <c r="AN17" s="71">
        <f>+Zal_1_WPF_wg_przeplywow!AN17</f>
        <v>0</v>
      </c>
      <c r="AO17" s="71">
        <f>+Zal_1_WPF_wg_przeplywow!AO17</f>
        <v>0</v>
      </c>
    </row>
    <row r="18" spans="1:41" ht="12">
      <c r="A18" s="74"/>
      <c r="B18" s="76" t="s">
        <v>13</v>
      </c>
      <c r="C18" s="71">
        <f>+Zal_1_WPF_wg_przeplywow!C29</f>
        <v>636000</v>
      </c>
      <c r="D18" s="71">
        <f>+Zal_1_WPF_wg_przeplywow!D29</f>
        <v>720000</v>
      </c>
      <c r="E18" s="71">
        <f>+Zal_1_WPF_wg_przeplywow!E29</f>
        <v>610000</v>
      </c>
      <c r="F18" s="71">
        <f>+Zal_1_WPF_wg_przeplywow!F29</f>
        <v>540000</v>
      </c>
      <c r="G18" s="71">
        <f>+Zal_1_WPF_wg_przeplywow!G29</f>
        <v>500000</v>
      </c>
      <c r="H18" s="71">
        <f>+Zal_1_WPF_wg_przeplywow!H29</f>
        <v>350000</v>
      </c>
      <c r="I18" s="71">
        <f>+Zal_1_WPF_wg_przeplywow!I29</f>
        <v>250000</v>
      </c>
      <c r="J18" s="71">
        <f>+Zal_1_WPF_wg_przeplywow!J29</f>
        <v>120000</v>
      </c>
      <c r="K18" s="71">
        <f>+Zal_1_WPF_wg_przeplywow!K29</f>
        <v>216400</v>
      </c>
      <c r="L18" s="71">
        <f>+Zal_1_WPF_wg_przeplywow!L29</f>
        <v>130000</v>
      </c>
      <c r="M18" s="71">
        <f>+Zal_1_WPF_wg_przeplywow!M29</f>
        <v>120000</v>
      </c>
      <c r="N18" s="71">
        <f>+Zal_1_WPF_wg_przeplywow!N29</f>
        <v>0</v>
      </c>
      <c r="O18" s="71">
        <f>+Zal_1_WPF_wg_przeplywow!O29</f>
        <v>0</v>
      </c>
      <c r="P18" s="71">
        <f>+Zal_1_WPF_wg_przeplywow!P29</f>
        <v>0</v>
      </c>
      <c r="Q18" s="71">
        <f>+Zal_1_WPF_wg_przeplywow!Q29</f>
        <v>0</v>
      </c>
      <c r="R18" s="71">
        <f>+Zal_1_WPF_wg_przeplywow!R29</f>
        <v>0</v>
      </c>
      <c r="S18" s="71">
        <f>+Zal_1_WPF_wg_przeplywow!S29</f>
        <v>0</v>
      </c>
      <c r="T18" s="71">
        <f>+Zal_1_WPF_wg_przeplywow!T29</f>
        <v>0</v>
      </c>
      <c r="U18" s="71">
        <f>+Zal_1_WPF_wg_przeplywow!U29</f>
        <v>0</v>
      </c>
      <c r="V18" s="71">
        <f>+Zal_1_WPF_wg_przeplywow!V29</f>
        <v>0</v>
      </c>
      <c r="W18" s="71">
        <f>+Zal_1_WPF_wg_przeplywow!W29</f>
        <v>0</v>
      </c>
      <c r="X18" s="71">
        <f>+Zal_1_WPF_wg_przeplywow!X29</f>
        <v>0</v>
      </c>
      <c r="Y18" s="71">
        <f>+Zal_1_WPF_wg_przeplywow!Y29</f>
        <v>0</v>
      </c>
      <c r="Z18" s="71">
        <f>+Zal_1_WPF_wg_przeplywow!Z29</f>
        <v>0</v>
      </c>
      <c r="AA18" s="71">
        <f>+Zal_1_WPF_wg_przeplywow!AA29</f>
        <v>0</v>
      </c>
      <c r="AB18" s="71">
        <f>+Zal_1_WPF_wg_przeplywow!AB29</f>
        <v>0</v>
      </c>
      <c r="AC18" s="71">
        <f>+Zal_1_WPF_wg_przeplywow!AC29</f>
        <v>0</v>
      </c>
      <c r="AD18" s="71">
        <f>+Zal_1_WPF_wg_przeplywow!AD29</f>
        <v>0</v>
      </c>
      <c r="AE18" s="71">
        <f>+Zal_1_WPF_wg_przeplywow!AE29</f>
        <v>0</v>
      </c>
      <c r="AF18" s="71">
        <f>+Zal_1_WPF_wg_przeplywow!AF29</f>
        <v>0</v>
      </c>
      <c r="AG18" s="71">
        <f>+Zal_1_WPF_wg_przeplywow!AG29</f>
        <v>0</v>
      </c>
      <c r="AH18" s="71">
        <f>+Zal_1_WPF_wg_przeplywow!AH29</f>
        <v>0</v>
      </c>
      <c r="AI18" s="71">
        <f>+Zal_1_WPF_wg_przeplywow!AI29</f>
        <v>0</v>
      </c>
      <c r="AJ18" s="71">
        <f>+Zal_1_WPF_wg_przeplywow!AJ29</f>
        <v>0</v>
      </c>
      <c r="AK18" s="71">
        <f>+Zal_1_WPF_wg_przeplywow!AK29</f>
        <v>0</v>
      </c>
      <c r="AL18" s="71">
        <f>+Zal_1_WPF_wg_przeplywow!AL29</f>
        <v>0</v>
      </c>
      <c r="AM18" s="71">
        <f>+Zal_1_WPF_wg_przeplywow!AM29</f>
        <v>0</v>
      </c>
      <c r="AN18" s="71">
        <f>+Zal_1_WPF_wg_przeplywow!AN29</f>
        <v>0</v>
      </c>
      <c r="AO18" s="71">
        <f>+Zal_1_WPF_wg_przeplywow!AO29</f>
        <v>0</v>
      </c>
    </row>
    <row r="19" spans="1:41" ht="12">
      <c r="A19" s="74"/>
      <c r="B19" s="77" t="s">
        <v>167</v>
      </c>
      <c r="C19" s="71">
        <f>+Zal_1_WPF_wg_przeplywow!C30</f>
        <v>600000</v>
      </c>
      <c r="D19" s="71">
        <f>+Zal_1_WPF_wg_przeplywow!D30</f>
        <v>710000</v>
      </c>
      <c r="E19" s="71">
        <f>+Zal_1_WPF_wg_przeplywow!E30</f>
        <v>600000</v>
      </c>
      <c r="F19" s="71">
        <f>+Zal_1_WPF_wg_przeplywow!F30</f>
        <v>530000</v>
      </c>
      <c r="G19" s="71">
        <f>+Zal_1_WPF_wg_przeplywow!G30</f>
        <v>490000</v>
      </c>
      <c r="H19" s="71">
        <f>+Zal_1_WPF_wg_przeplywow!H30</f>
        <v>350000</v>
      </c>
      <c r="I19" s="71">
        <f>+Zal_1_WPF_wg_przeplywow!I30</f>
        <v>250000</v>
      </c>
      <c r="J19" s="71">
        <f>+Zal_1_WPF_wg_przeplywow!J30</f>
        <v>120000</v>
      </c>
      <c r="K19" s="71">
        <f>+Zal_1_WPF_wg_przeplywow!K30</f>
        <v>216400</v>
      </c>
      <c r="L19" s="71">
        <f>+Zal_1_WPF_wg_przeplywow!L30</f>
        <v>130000</v>
      </c>
      <c r="M19" s="71">
        <f>+Zal_1_WPF_wg_przeplywow!M30</f>
        <v>120000</v>
      </c>
      <c r="N19" s="71">
        <f>+Zal_1_WPF_wg_przeplywow!N30</f>
        <v>0</v>
      </c>
      <c r="O19" s="71">
        <f>+Zal_1_WPF_wg_przeplywow!O30</f>
        <v>0</v>
      </c>
      <c r="P19" s="71">
        <f>+Zal_1_WPF_wg_przeplywow!P30</f>
        <v>0</v>
      </c>
      <c r="Q19" s="71">
        <f>+Zal_1_WPF_wg_przeplywow!Q30</f>
        <v>0</v>
      </c>
      <c r="R19" s="71">
        <f>+Zal_1_WPF_wg_przeplywow!R30</f>
        <v>0</v>
      </c>
      <c r="S19" s="71">
        <f>+Zal_1_WPF_wg_przeplywow!S30</f>
        <v>0</v>
      </c>
      <c r="T19" s="71">
        <f>+Zal_1_WPF_wg_przeplywow!T30</f>
        <v>0</v>
      </c>
      <c r="U19" s="71">
        <f>+Zal_1_WPF_wg_przeplywow!U30</f>
        <v>0</v>
      </c>
      <c r="V19" s="71">
        <f>+Zal_1_WPF_wg_przeplywow!V30</f>
        <v>0</v>
      </c>
      <c r="W19" s="71">
        <f>+Zal_1_WPF_wg_przeplywow!W30</f>
        <v>0</v>
      </c>
      <c r="X19" s="71">
        <f>+Zal_1_WPF_wg_przeplywow!X30</f>
        <v>0</v>
      </c>
      <c r="Y19" s="71">
        <f>+Zal_1_WPF_wg_przeplywow!Y30</f>
        <v>0</v>
      </c>
      <c r="Z19" s="71">
        <f>+Zal_1_WPF_wg_przeplywow!Z30</f>
        <v>0</v>
      </c>
      <c r="AA19" s="71">
        <f>+Zal_1_WPF_wg_przeplywow!AA30</f>
        <v>0</v>
      </c>
      <c r="AB19" s="71">
        <f>+Zal_1_WPF_wg_przeplywow!AB30</f>
        <v>0</v>
      </c>
      <c r="AC19" s="71">
        <f>+Zal_1_WPF_wg_przeplywow!AC30</f>
        <v>0</v>
      </c>
      <c r="AD19" s="71">
        <f>+Zal_1_WPF_wg_przeplywow!AD30</f>
        <v>0</v>
      </c>
      <c r="AE19" s="71">
        <f>+Zal_1_WPF_wg_przeplywow!AE30</f>
        <v>0</v>
      </c>
      <c r="AF19" s="71">
        <f>+Zal_1_WPF_wg_przeplywow!AF30</f>
        <v>0</v>
      </c>
      <c r="AG19" s="71">
        <f>+Zal_1_WPF_wg_przeplywow!AG30</f>
        <v>0</v>
      </c>
      <c r="AH19" s="71">
        <f>+Zal_1_WPF_wg_przeplywow!AH30</f>
        <v>0</v>
      </c>
      <c r="AI19" s="71">
        <f>+Zal_1_WPF_wg_przeplywow!AI30</f>
        <v>0</v>
      </c>
      <c r="AJ19" s="71">
        <f>+Zal_1_WPF_wg_przeplywow!AJ30</f>
        <v>0</v>
      </c>
      <c r="AK19" s="71">
        <f>+Zal_1_WPF_wg_przeplywow!AK30</f>
        <v>0</v>
      </c>
      <c r="AL19" s="71">
        <f>+Zal_1_WPF_wg_przeplywow!AL30</f>
        <v>0</v>
      </c>
      <c r="AM19" s="71">
        <f>+Zal_1_WPF_wg_przeplywow!AM30</f>
        <v>0</v>
      </c>
      <c r="AN19" s="71">
        <f>+Zal_1_WPF_wg_przeplywow!AN30</f>
        <v>0</v>
      </c>
      <c r="AO19" s="71">
        <f>+Zal_1_WPF_wg_przeplywow!AO30</f>
        <v>0</v>
      </c>
    </row>
    <row r="20" spans="1:41" ht="12">
      <c r="A20" s="74"/>
      <c r="B20" s="70" t="s">
        <v>47</v>
      </c>
      <c r="C20" s="75">
        <f>+Zal_1_WPF_wg_przeplywow!C33</f>
        <v>5523702.3</v>
      </c>
      <c r="D20" s="75">
        <f>+Zal_1_WPF_wg_przeplywow!D33</f>
        <v>3068000</v>
      </c>
      <c r="E20" s="75">
        <f>+Zal_1_WPF_wg_przeplywow!E33</f>
        <v>3068000</v>
      </c>
      <c r="F20" s="75">
        <f>+Zal_1_WPF_wg_przeplywow!F33</f>
        <v>3068000</v>
      </c>
      <c r="G20" s="75">
        <f>+Zal_1_WPF_wg_przeplywow!G33</f>
        <v>3372147</v>
      </c>
      <c r="H20" s="75">
        <f>+Zal_1_WPF_wg_przeplywow!H33</f>
        <v>931238</v>
      </c>
      <c r="I20" s="75">
        <f>+Zal_1_WPF_wg_przeplywow!I33</f>
        <v>706476</v>
      </c>
      <c r="J20" s="75">
        <f>+Zal_1_WPF_wg_przeplywow!J33</f>
        <v>842279</v>
      </c>
      <c r="K20" s="75">
        <f>+Zal_1_WPF_wg_przeplywow!K33</f>
        <v>1610059</v>
      </c>
      <c r="L20" s="75">
        <f>+Zal_1_WPF_wg_przeplywow!L33</f>
        <v>896271</v>
      </c>
      <c r="M20" s="75">
        <f>+Zal_1_WPF_wg_przeplywow!M33</f>
        <v>2107995</v>
      </c>
      <c r="N20" s="75">
        <f>+Zal_1_WPF_wg_przeplywow!N33</f>
        <v>0</v>
      </c>
      <c r="O20" s="75">
        <f>+Zal_1_WPF_wg_przeplywow!O33</f>
        <v>0</v>
      </c>
      <c r="P20" s="75">
        <f>+Zal_1_WPF_wg_przeplywow!P33</f>
        <v>0</v>
      </c>
      <c r="Q20" s="75">
        <f>+Zal_1_WPF_wg_przeplywow!Q33</f>
        <v>0</v>
      </c>
      <c r="R20" s="75">
        <f>+Zal_1_WPF_wg_przeplywow!R33</f>
        <v>0</v>
      </c>
      <c r="S20" s="75">
        <f>+Zal_1_WPF_wg_przeplywow!S33</f>
        <v>0</v>
      </c>
      <c r="T20" s="75">
        <f>+Zal_1_WPF_wg_przeplywow!T33</f>
        <v>0</v>
      </c>
      <c r="U20" s="75">
        <f>+Zal_1_WPF_wg_przeplywow!U33</f>
        <v>0</v>
      </c>
      <c r="V20" s="75">
        <f>+Zal_1_WPF_wg_przeplywow!V33</f>
        <v>0</v>
      </c>
      <c r="W20" s="75">
        <f>+Zal_1_WPF_wg_przeplywow!W33</f>
        <v>0</v>
      </c>
      <c r="X20" s="75">
        <f>+Zal_1_WPF_wg_przeplywow!X33</f>
        <v>0</v>
      </c>
      <c r="Y20" s="75">
        <f>+Zal_1_WPF_wg_przeplywow!Y33</f>
        <v>0</v>
      </c>
      <c r="Z20" s="75">
        <f>+Zal_1_WPF_wg_przeplywow!Z33</f>
        <v>0</v>
      </c>
      <c r="AA20" s="75">
        <f>+Zal_1_WPF_wg_przeplywow!AA33</f>
        <v>0</v>
      </c>
      <c r="AB20" s="75">
        <f>+Zal_1_WPF_wg_przeplywow!AB33</f>
        <v>0</v>
      </c>
      <c r="AC20" s="75">
        <f>+Zal_1_WPF_wg_przeplywow!AC33</f>
        <v>0</v>
      </c>
      <c r="AD20" s="75">
        <f>+Zal_1_WPF_wg_przeplywow!AD33</f>
        <v>0</v>
      </c>
      <c r="AE20" s="75">
        <f>+Zal_1_WPF_wg_przeplywow!AE33</f>
        <v>0</v>
      </c>
      <c r="AF20" s="75">
        <f>+Zal_1_WPF_wg_przeplywow!AF33</f>
        <v>0</v>
      </c>
      <c r="AG20" s="75">
        <f>+Zal_1_WPF_wg_przeplywow!AG33</f>
        <v>0</v>
      </c>
      <c r="AH20" s="75">
        <f>+Zal_1_WPF_wg_przeplywow!AH33</f>
        <v>0</v>
      </c>
      <c r="AI20" s="75">
        <f>+Zal_1_WPF_wg_przeplywow!AI33</f>
        <v>0</v>
      </c>
      <c r="AJ20" s="75">
        <f>+Zal_1_WPF_wg_przeplywow!AJ33</f>
        <v>0</v>
      </c>
      <c r="AK20" s="75">
        <f>+Zal_1_WPF_wg_przeplywow!AK33</f>
        <v>0</v>
      </c>
      <c r="AL20" s="75">
        <f>+Zal_1_WPF_wg_przeplywow!AL33</f>
        <v>0</v>
      </c>
      <c r="AM20" s="75">
        <f>+Zal_1_WPF_wg_przeplywow!AM33</f>
        <v>0</v>
      </c>
      <c r="AN20" s="75">
        <f>+Zal_1_WPF_wg_przeplywow!AN33</f>
        <v>0</v>
      </c>
      <c r="AO20" s="75">
        <f>+Zal_1_WPF_wg_przeplywow!AO33</f>
        <v>0</v>
      </c>
    </row>
    <row r="21" spans="1:41" ht="24">
      <c r="A21" s="87"/>
      <c r="B21" s="86" t="s">
        <v>91</v>
      </c>
      <c r="C21" s="88">
        <f>+Zal_1_WPF_wg_przeplywow!C35</f>
        <v>3590000</v>
      </c>
      <c r="D21" s="88">
        <f>+Zal_1_WPF_wg_przeplywow!D35</f>
        <v>2900000</v>
      </c>
      <c r="E21" s="88">
        <f>+Zal_1_WPF_wg_przeplywow!E35</f>
        <v>2900000</v>
      </c>
      <c r="F21" s="88">
        <f>+Zal_1_WPF_wg_przeplywow!F35</f>
        <v>2900000</v>
      </c>
      <c r="G21" s="88">
        <f>+Zal_1_WPF_wg_przeplywow!G35</f>
        <v>3156930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  <c r="L21" s="88">
        <f>+Zal_1_WPF_wg_przeplywow!L35</f>
        <v>0</v>
      </c>
      <c r="M21" s="88">
        <f>+Zal_1_WPF_wg_przeplywow!M35</f>
        <v>0</v>
      </c>
      <c r="N21" s="88">
        <f>+Zal_1_WPF_wg_przeplywow!N35</f>
        <v>0</v>
      </c>
      <c r="O21" s="88">
        <f>+Zal_1_WPF_wg_przeplywow!O35</f>
        <v>0</v>
      </c>
      <c r="P21" s="88">
        <f>+Zal_1_WPF_wg_przeplywow!P35</f>
        <v>0</v>
      </c>
      <c r="Q21" s="88">
        <f>+Zal_1_WPF_wg_przeplywow!Q35</f>
        <v>0</v>
      </c>
      <c r="R21" s="88">
        <f>+Zal_1_WPF_wg_przeplywow!R35</f>
        <v>0</v>
      </c>
      <c r="S21" s="88">
        <f>+Zal_1_WPF_wg_przeplywow!S35</f>
        <v>0</v>
      </c>
      <c r="T21" s="88">
        <f>+Zal_1_WPF_wg_przeplywow!T35</f>
        <v>0</v>
      </c>
      <c r="U21" s="88">
        <f>+Zal_1_WPF_wg_przeplywow!U35</f>
        <v>0</v>
      </c>
      <c r="V21" s="88">
        <f>+Zal_1_WPF_wg_przeplywow!V35</f>
        <v>0</v>
      </c>
      <c r="W21" s="88">
        <f>+Zal_1_WPF_wg_przeplywow!W35</f>
        <v>0</v>
      </c>
      <c r="X21" s="88">
        <f>+Zal_1_WPF_wg_przeplywow!X35</f>
        <v>0</v>
      </c>
      <c r="Y21" s="88">
        <f>+Zal_1_WPF_wg_przeplywow!Y35</f>
        <v>0</v>
      </c>
      <c r="Z21" s="88">
        <f>+Zal_1_WPF_wg_przeplywow!Z35</f>
        <v>0</v>
      </c>
      <c r="AA21" s="88">
        <f>+Zal_1_WPF_wg_przeplywow!AA35</f>
        <v>0</v>
      </c>
      <c r="AB21" s="88">
        <f>+Zal_1_WPF_wg_przeplywow!AB35</f>
        <v>0</v>
      </c>
      <c r="AC21" s="88">
        <f>+Zal_1_WPF_wg_przeplywow!AC35</f>
        <v>0</v>
      </c>
      <c r="AD21" s="88">
        <f>+Zal_1_WPF_wg_przeplywow!AD35</f>
        <v>0</v>
      </c>
      <c r="AE21" s="88">
        <f>+Zal_1_WPF_wg_przeplywow!AE35</f>
        <v>0</v>
      </c>
      <c r="AF21" s="88">
        <f>+Zal_1_WPF_wg_przeplywow!AF35</f>
        <v>0</v>
      </c>
      <c r="AG21" s="88">
        <f>+Zal_1_WPF_wg_przeplywow!AG35</f>
        <v>0</v>
      </c>
      <c r="AH21" s="88">
        <f>+Zal_1_WPF_wg_przeplywow!AH35</f>
        <v>0</v>
      </c>
      <c r="AI21" s="88">
        <f>+Zal_1_WPF_wg_przeplywow!AI35</f>
        <v>0</v>
      </c>
      <c r="AJ21" s="88">
        <f>+Zal_1_WPF_wg_przeplywow!AJ35</f>
        <v>0</v>
      </c>
      <c r="AK21" s="88">
        <f>+Zal_1_WPF_wg_przeplywow!AK35</f>
        <v>0</v>
      </c>
      <c r="AL21" s="88">
        <f>+Zal_1_WPF_wg_przeplywow!AL35</f>
        <v>0</v>
      </c>
      <c r="AM21" s="88">
        <f>+Zal_1_WPF_wg_przeplywow!AM35</f>
        <v>0</v>
      </c>
      <c r="AN21" s="88">
        <f>+Zal_1_WPF_wg_przeplywow!AN35</f>
        <v>0</v>
      </c>
      <c r="AO21" s="88">
        <f>+Zal_1_WPF_wg_przeplywow!AO35</f>
        <v>0</v>
      </c>
    </row>
    <row r="22" spans="1:41" ht="12">
      <c r="A22" s="62" t="s">
        <v>7</v>
      </c>
      <c r="B22" s="63" t="s">
        <v>48</v>
      </c>
      <c r="C22" s="58">
        <f>+C6-C12</f>
        <v>-498448</v>
      </c>
      <c r="D22" s="58">
        <f aca="true" t="shared" si="6" ref="D22:AD22">+D6-D12</f>
        <v>630600</v>
      </c>
      <c r="E22" s="58">
        <f t="shared" si="6"/>
        <v>374626</v>
      </c>
      <c r="F22" s="58">
        <f t="shared" si="6"/>
        <v>411266</v>
      </c>
      <c r="G22" s="58">
        <f t="shared" si="6"/>
        <v>438297</v>
      </c>
      <c r="H22" s="58">
        <f t="shared" si="6"/>
        <v>1694000</v>
      </c>
      <c r="I22" s="58">
        <f t="shared" si="6"/>
        <v>1950000</v>
      </c>
      <c r="J22" s="58">
        <f t="shared" si="6"/>
        <v>2450000</v>
      </c>
      <c r="K22" s="58">
        <f t="shared" si="6"/>
        <v>500000</v>
      </c>
      <c r="L22" s="58">
        <f t="shared" si="6"/>
        <v>2566576</v>
      </c>
      <c r="M22" s="58">
        <f t="shared" si="6"/>
        <v>1693635</v>
      </c>
      <c r="N22" s="58">
        <f t="shared" si="6"/>
        <v>0</v>
      </c>
      <c r="O22" s="58">
        <f t="shared" si="6"/>
        <v>0</v>
      </c>
      <c r="P22" s="58">
        <f t="shared" si="6"/>
        <v>0</v>
      </c>
      <c r="Q22" s="58">
        <f t="shared" si="6"/>
        <v>0</v>
      </c>
      <c r="R22" s="58">
        <f t="shared" si="6"/>
        <v>0</v>
      </c>
      <c r="S22" s="58">
        <f t="shared" si="6"/>
        <v>0</v>
      </c>
      <c r="T22" s="58">
        <f t="shared" si="6"/>
        <v>0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aca="true" t="shared" si="7" ref="AE22:AO22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 ht="12">
      <c r="A23" s="178" t="s">
        <v>8</v>
      </c>
      <c r="B23" s="179" t="s">
        <v>49</v>
      </c>
      <c r="C23" s="68">
        <f>+C7-C13</f>
        <v>1653630.3000000007</v>
      </c>
      <c r="D23" s="68">
        <f aca="true" t="shared" si="8" ref="D23:AD23">+D7-D13</f>
        <v>2183600</v>
      </c>
      <c r="E23" s="68">
        <f t="shared" si="8"/>
        <v>1927626</v>
      </c>
      <c r="F23" s="68">
        <f t="shared" si="8"/>
        <v>1964266</v>
      </c>
      <c r="G23" s="68">
        <f t="shared" si="8"/>
        <v>2195131</v>
      </c>
      <c r="H23" s="68">
        <f t="shared" si="8"/>
        <v>2625238</v>
      </c>
      <c r="I23" s="68">
        <f t="shared" si="8"/>
        <v>2656476</v>
      </c>
      <c r="J23" s="68">
        <f t="shared" si="8"/>
        <v>3292279</v>
      </c>
      <c r="K23" s="68">
        <f t="shared" si="8"/>
        <v>2110059</v>
      </c>
      <c r="L23" s="68">
        <f t="shared" si="8"/>
        <v>3462847</v>
      </c>
      <c r="M23" s="68">
        <f t="shared" si="8"/>
        <v>3801630</v>
      </c>
      <c r="N23" s="68">
        <f t="shared" si="8"/>
        <v>0</v>
      </c>
      <c r="O23" s="68">
        <f t="shared" si="8"/>
        <v>0</v>
      </c>
      <c r="P23" s="68">
        <f t="shared" si="8"/>
        <v>0</v>
      </c>
      <c r="Q23" s="68">
        <f t="shared" si="8"/>
        <v>0</v>
      </c>
      <c r="R23" s="68">
        <f t="shared" si="8"/>
        <v>0</v>
      </c>
      <c r="S23" s="68">
        <f t="shared" si="8"/>
        <v>0</v>
      </c>
      <c r="T23" s="68">
        <f t="shared" si="8"/>
        <v>0</v>
      </c>
      <c r="U23" s="68">
        <f t="shared" si="8"/>
        <v>0</v>
      </c>
      <c r="V23" s="68">
        <f t="shared" si="8"/>
        <v>0</v>
      </c>
      <c r="W23" s="68">
        <f t="shared" si="8"/>
        <v>0</v>
      </c>
      <c r="X23" s="68">
        <f t="shared" si="8"/>
        <v>0</v>
      </c>
      <c r="Y23" s="68">
        <f t="shared" si="8"/>
        <v>0</v>
      </c>
      <c r="Z23" s="68">
        <f t="shared" si="8"/>
        <v>0</v>
      </c>
      <c r="AA23" s="68">
        <f t="shared" si="8"/>
        <v>0</v>
      </c>
      <c r="AB23" s="68">
        <f t="shared" si="8"/>
        <v>0</v>
      </c>
      <c r="AC23" s="68">
        <f t="shared" si="8"/>
        <v>0</v>
      </c>
      <c r="AD23" s="68">
        <f t="shared" si="8"/>
        <v>0</v>
      </c>
      <c r="AE23" s="68">
        <f aca="true" t="shared" si="9" ref="AE23:AO23">+AE7-AE13</f>
        <v>0</v>
      </c>
      <c r="AF23" s="68">
        <f t="shared" si="9"/>
        <v>0</v>
      </c>
      <c r="AG23" s="68">
        <f t="shared" si="9"/>
        <v>0</v>
      </c>
      <c r="AH23" s="68">
        <f t="shared" si="9"/>
        <v>0</v>
      </c>
      <c r="AI23" s="68">
        <f t="shared" si="9"/>
        <v>0</v>
      </c>
      <c r="AJ23" s="68">
        <f t="shared" si="9"/>
        <v>0</v>
      </c>
      <c r="AK23" s="68">
        <f t="shared" si="9"/>
        <v>0</v>
      </c>
      <c r="AL23" s="68">
        <f t="shared" si="9"/>
        <v>0</v>
      </c>
      <c r="AM23" s="68">
        <f t="shared" si="9"/>
        <v>0</v>
      </c>
      <c r="AN23" s="68">
        <f t="shared" si="9"/>
        <v>0</v>
      </c>
      <c r="AO23" s="68">
        <f t="shared" si="9"/>
        <v>0</v>
      </c>
    </row>
    <row r="24" spans="1:41" s="44" customFormat="1" ht="12">
      <c r="A24" s="180"/>
      <c r="B24" s="181" t="s">
        <v>194</v>
      </c>
      <c r="C24" s="88">
        <f>+C9-C20</f>
        <v>-2152078.3</v>
      </c>
      <c r="D24" s="88">
        <f aca="true" t="shared" si="10" ref="D24:AO24">+D9-D20</f>
        <v>-1553000</v>
      </c>
      <c r="E24" s="88">
        <f t="shared" si="10"/>
        <v>-1553000</v>
      </c>
      <c r="F24" s="88">
        <f t="shared" si="10"/>
        <v>-1553000</v>
      </c>
      <c r="G24" s="88">
        <f t="shared" si="10"/>
        <v>-1756834</v>
      </c>
      <c r="H24" s="88">
        <f t="shared" si="10"/>
        <v>-931238</v>
      </c>
      <c r="I24" s="88">
        <f t="shared" si="10"/>
        <v>-706476</v>
      </c>
      <c r="J24" s="88">
        <f t="shared" si="10"/>
        <v>-842279</v>
      </c>
      <c r="K24" s="88">
        <f t="shared" si="10"/>
        <v>-1610059</v>
      </c>
      <c r="L24" s="88">
        <f t="shared" si="10"/>
        <v>-896271</v>
      </c>
      <c r="M24" s="88">
        <f t="shared" si="10"/>
        <v>-2107995</v>
      </c>
      <c r="N24" s="88">
        <f t="shared" si="10"/>
        <v>0</v>
      </c>
      <c r="O24" s="88">
        <f t="shared" si="10"/>
        <v>0</v>
      </c>
      <c r="P24" s="88">
        <f t="shared" si="10"/>
        <v>0</v>
      </c>
      <c r="Q24" s="88">
        <f t="shared" si="10"/>
        <v>0</v>
      </c>
      <c r="R24" s="88">
        <f t="shared" si="10"/>
        <v>0</v>
      </c>
      <c r="S24" s="88">
        <f t="shared" si="10"/>
        <v>0</v>
      </c>
      <c r="T24" s="88">
        <f t="shared" si="10"/>
        <v>0</v>
      </c>
      <c r="U24" s="88">
        <f t="shared" si="10"/>
        <v>0</v>
      </c>
      <c r="V24" s="88">
        <f t="shared" si="10"/>
        <v>0</v>
      </c>
      <c r="W24" s="88">
        <f t="shared" si="10"/>
        <v>0</v>
      </c>
      <c r="X24" s="88">
        <f t="shared" si="10"/>
        <v>0</v>
      </c>
      <c r="Y24" s="88">
        <f t="shared" si="10"/>
        <v>0</v>
      </c>
      <c r="Z24" s="88">
        <f t="shared" si="10"/>
        <v>0</v>
      </c>
      <c r="AA24" s="88">
        <f t="shared" si="10"/>
        <v>0</v>
      </c>
      <c r="AB24" s="88">
        <f t="shared" si="10"/>
        <v>0</v>
      </c>
      <c r="AC24" s="88">
        <f t="shared" si="10"/>
        <v>0</v>
      </c>
      <c r="AD24" s="88">
        <f t="shared" si="10"/>
        <v>0</v>
      </c>
      <c r="AE24" s="88">
        <f t="shared" si="10"/>
        <v>0</v>
      </c>
      <c r="AF24" s="88">
        <f t="shared" si="10"/>
        <v>0</v>
      </c>
      <c r="AG24" s="88">
        <f t="shared" si="10"/>
        <v>0</v>
      </c>
      <c r="AH24" s="88">
        <f t="shared" si="10"/>
        <v>0</v>
      </c>
      <c r="AI24" s="88">
        <f t="shared" si="10"/>
        <v>0</v>
      </c>
      <c r="AJ24" s="88">
        <f t="shared" si="10"/>
        <v>0</v>
      </c>
      <c r="AK24" s="88">
        <f t="shared" si="10"/>
        <v>0</v>
      </c>
      <c r="AL24" s="88">
        <f t="shared" si="10"/>
        <v>0</v>
      </c>
      <c r="AM24" s="88">
        <f t="shared" si="10"/>
        <v>0</v>
      </c>
      <c r="AN24" s="88">
        <f t="shared" si="10"/>
        <v>0</v>
      </c>
      <c r="AO24" s="88">
        <f t="shared" si="10"/>
        <v>0</v>
      </c>
    </row>
    <row r="25" spans="1:41" ht="12">
      <c r="A25" s="66" t="s">
        <v>9</v>
      </c>
      <c r="B25" s="67" t="s">
        <v>50</v>
      </c>
      <c r="C25" s="68">
        <f>+C26+C28+C30</f>
        <v>3659400</v>
      </c>
      <c r="D25" s="68">
        <f aca="true" t="shared" si="11" ref="D25:AD25">+D26+D28+D30</f>
        <v>3040000</v>
      </c>
      <c r="E25" s="68">
        <f t="shared" si="11"/>
        <v>406374</v>
      </c>
      <c r="F25" s="68">
        <f t="shared" si="11"/>
        <v>985634</v>
      </c>
      <c r="G25" s="68">
        <f t="shared" si="11"/>
        <v>1061703</v>
      </c>
      <c r="H25" s="68">
        <f t="shared" si="11"/>
        <v>0</v>
      </c>
      <c r="I25" s="68">
        <f t="shared" si="11"/>
        <v>0</v>
      </c>
      <c r="J25" s="68">
        <f t="shared" si="11"/>
        <v>0</v>
      </c>
      <c r="K25" s="68">
        <f t="shared" si="11"/>
        <v>0</v>
      </c>
      <c r="L25" s="68">
        <f t="shared" si="11"/>
        <v>0</v>
      </c>
      <c r="M25" s="68">
        <f t="shared" si="11"/>
        <v>0</v>
      </c>
      <c r="N25" s="68">
        <f t="shared" si="11"/>
        <v>0</v>
      </c>
      <c r="O25" s="68">
        <f t="shared" si="11"/>
        <v>0</v>
      </c>
      <c r="P25" s="68">
        <f t="shared" si="11"/>
        <v>0</v>
      </c>
      <c r="Q25" s="68">
        <f t="shared" si="11"/>
        <v>0</v>
      </c>
      <c r="R25" s="68">
        <f t="shared" si="11"/>
        <v>0</v>
      </c>
      <c r="S25" s="68">
        <f t="shared" si="11"/>
        <v>0</v>
      </c>
      <c r="T25" s="68">
        <f t="shared" si="11"/>
        <v>0</v>
      </c>
      <c r="U25" s="68">
        <f t="shared" si="11"/>
        <v>0</v>
      </c>
      <c r="V25" s="68">
        <f t="shared" si="11"/>
        <v>0</v>
      </c>
      <c r="W25" s="68">
        <f t="shared" si="11"/>
        <v>0</v>
      </c>
      <c r="X25" s="68">
        <f t="shared" si="11"/>
        <v>0</v>
      </c>
      <c r="Y25" s="68">
        <f t="shared" si="11"/>
        <v>0</v>
      </c>
      <c r="Z25" s="68">
        <f t="shared" si="11"/>
        <v>0</v>
      </c>
      <c r="AA25" s="68">
        <f t="shared" si="11"/>
        <v>0</v>
      </c>
      <c r="AB25" s="68">
        <f t="shared" si="11"/>
        <v>0</v>
      </c>
      <c r="AC25" s="68">
        <f t="shared" si="11"/>
        <v>0</v>
      </c>
      <c r="AD25" s="68">
        <f t="shared" si="11"/>
        <v>0</v>
      </c>
      <c r="AE25" s="68">
        <f aca="true" t="shared" si="12" ref="AE25:AO25">+AE26+AE28+AE30</f>
        <v>0</v>
      </c>
      <c r="AF25" s="68">
        <f t="shared" si="12"/>
        <v>0</v>
      </c>
      <c r="AG25" s="68">
        <f t="shared" si="12"/>
        <v>0</v>
      </c>
      <c r="AH25" s="68">
        <f t="shared" si="12"/>
        <v>0</v>
      </c>
      <c r="AI25" s="68">
        <f t="shared" si="12"/>
        <v>0</v>
      </c>
      <c r="AJ25" s="68">
        <f t="shared" si="12"/>
        <v>0</v>
      </c>
      <c r="AK25" s="68">
        <f t="shared" si="12"/>
        <v>0</v>
      </c>
      <c r="AL25" s="68">
        <f t="shared" si="12"/>
        <v>0</v>
      </c>
      <c r="AM25" s="68">
        <f t="shared" si="12"/>
        <v>0</v>
      </c>
      <c r="AN25" s="68">
        <f t="shared" si="12"/>
        <v>0</v>
      </c>
      <c r="AO25" s="68">
        <f t="shared" si="12"/>
        <v>0</v>
      </c>
    </row>
    <row r="26" spans="1:41" ht="36">
      <c r="A26" s="69"/>
      <c r="B26" s="70" t="s">
        <v>197</v>
      </c>
      <c r="C26" s="75">
        <f>+Zal_1_WPF_wg_przeplywow!C21</f>
        <v>0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  <c r="L26" s="75">
        <f>+Zal_1_WPF_wg_przeplywow!L21</f>
        <v>0</v>
      </c>
      <c r="M26" s="75">
        <f>+Zal_1_WPF_wg_przeplywow!M21</f>
        <v>0</v>
      </c>
      <c r="N26" s="75">
        <f>+Zal_1_WPF_wg_przeplywow!N21</f>
        <v>0</v>
      </c>
      <c r="O26" s="75">
        <f>+Zal_1_WPF_wg_przeplywow!O21</f>
        <v>0</v>
      </c>
      <c r="P26" s="75">
        <f>+Zal_1_WPF_wg_przeplywow!P21</f>
        <v>0</v>
      </c>
      <c r="Q26" s="75">
        <f>+Zal_1_WPF_wg_przeplywow!Q21</f>
        <v>0</v>
      </c>
      <c r="R26" s="75">
        <f>+Zal_1_WPF_wg_przeplywow!R21</f>
        <v>0</v>
      </c>
      <c r="S26" s="75">
        <f>+Zal_1_WPF_wg_przeplywow!S21</f>
        <v>0</v>
      </c>
      <c r="T26" s="75">
        <f>+Zal_1_WPF_wg_przeplywow!T21</f>
        <v>0</v>
      </c>
      <c r="U26" s="75">
        <f>+Zal_1_WPF_wg_przeplywow!U21</f>
        <v>0</v>
      </c>
      <c r="V26" s="75">
        <f>+Zal_1_WPF_wg_przeplywow!V21</f>
        <v>0</v>
      </c>
      <c r="W26" s="75">
        <f>+Zal_1_WPF_wg_przeplywow!W21</f>
        <v>0</v>
      </c>
      <c r="X26" s="75">
        <f>+Zal_1_WPF_wg_przeplywow!X21</f>
        <v>0</v>
      </c>
      <c r="Y26" s="75">
        <f>+Zal_1_WPF_wg_przeplywow!Y21</f>
        <v>0</v>
      </c>
      <c r="Z26" s="75">
        <f>+Zal_1_WPF_wg_przeplywow!Z21</f>
        <v>0</v>
      </c>
      <c r="AA26" s="75">
        <f>+Zal_1_WPF_wg_przeplywow!AA21</f>
        <v>0</v>
      </c>
      <c r="AB26" s="75">
        <f>+Zal_1_WPF_wg_przeplywow!AB21</f>
        <v>0</v>
      </c>
      <c r="AC26" s="75">
        <f>+Zal_1_WPF_wg_przeplywow!AC21</f>
        <v>0</v>
      </c>
      <c r="AD26" s="75">
        <f>+Zal_1_WPF_wg_przeplywow!AD21</f>
        <v>0</v>
      </c>
      <c r="AE26" s="75">
        <f>+Zal_1_WPF_wg_przeplywow!AE21</f>
        <v>0</v>
      </c>
      <c r="AF26" s="75">
        <f>+Zal_1_WPF_wg_przeplywow!AF21</f>
        <v>0</v>
      </c>
      <c r="AG26" s="75">
        <f>+Zal_1_WPF_wg_przeplywow!AG21</f>
        <v>0</v>
      </c>
      <c r="AH26" s="75">
        <f>+Zal_1_WPF_wg_przeplywow!AH21</f>
        <v>0</v>
      </c>
      <c r="AI26" s="75">
        <f>+Zal_1_WPF_wg_przeplywow!AI21</f>
        <v>0</v>
      </c>
      <c r="AJ26" s="75">
        <f>+Zal_1_WPF_wg_przeplywow!AJ21</f>
        <v>0</v>
      </c>
      <c r="AK26" s="75">
        <f>+Zal_1_WPF_wg_przeplywow!AK21</f>
        <v>0</v>
      </c>
      <c r="AL26" s="75">
        <f>+Zal_1_WPF_wg_przeplywow!AL21</f>
        <v>0</v>
      </c>
      <c r="AM26" s="75">
        <f>+Zal_1_WPF_wg_przeplywow!AM21</f>
        <v>0</v>
      </c>
      <c r="AN26" s="75">
        <f>+Zal_1_WPF_wg_przeplywow!AN21</f>
        <v>0</v>
      </c>
      <c r="AO26" s="75">
        <f>+Zal_1_WPF_wg_przeplywow!AO21</f>
        <v>0</v>
      </c>
    </row>
    <row r="27" spans="1:41" ht="12">
      <c r="A27" s="69"/>
      <c r="B27" s="78" t="s">
        <v>63</v>
      </c>
      <c r="C27" s="71">
        <f>+Zal_1_WPF_wg_przeplywow!C22</f>
        <v>0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  <c r="L27" s="71">
        <f>+Zal_1_WPF_wg_przeplywow!L22</f>
        <v>0</v>
      </c>
      <c r="M27" s="71">
        <f>+Zal_1_WPF_wg_przeplywow!M22</f>
        <v>0</v>
      </c>
      <c r="N27" s="71">
        <f>+Zal_1_WPF_wg_przeplywow!N22</f>
        <v>0</v>
      </c>
      <c r="O27" s="71">
        <f>+Zal_1_WPF_wg_przeplywow!O22</f>
        <v>0</v>
      </c>
      <c r="P27" s="71">
        <f>+Zal_1_WPF_wg_przeplywow!P22</f>
        <v>0</v>
      </c>
      <c r="Q27" s="71">
        <f>+Zal_1_WPF_wg_przeplywow!Q22</f>
        <v>0</v>
      </c>
      <c r="R27" s="71">
        <f>+Zal_1_WPF_wg_przeplywow!R22</f>
        <v>0</v>
      </c>
      <c r="S27" s="71">
        <f>+Zal_1_WPF_wg_przeplywow!S22</f>
        <v>0</v>
      </c>
      <c r="T27" s="71">
        <f>+Zal_1_WPF_wg_przeplywow!T22</f>
        <v>0</v>
      </c>
      <c r="U27" s="71">
        <f>+Zal_1_WPF_wg_przeplywow!U22</f>
        <v>0</v>
      </c>
      <c r="V27" s="71">
        <f>+Zal_1_WPF_wg_przeplywow!V22</f>
        <v>0</v>
      </c>
      <c r="W27" s="71">
        <f>+Zal_1_WPF_wg_przeplywow!W22</f>
        <v>0</v>
      </c>
      <c r="X27" s="71">
        <f>+Zal_1_WPF_wg_przeplywow!X22</f>
        <v>0</v>
      </c>
      <c r="Y27" s="71">
        <f>+Zal_1_WPF_wg_przeplywow!Y22</f>
        <v>0</v>
      </c>
      <c r="Z27" s="71">
        <f>+Zal_1_WPF_wg_przeplywow!Z22</f>
        <v>0</v>
      </c>
      <c r="AA27" s="71">
        <f>+Zal_1_WPF_wg_przeplywow!AA22</f>
        <v>0</v>
      </c>
      <c r="AB27" s="71">
        <f>+Zal_1_WPF_wg_przeplywow!AB22</f>
        <v>0</v>
      </c>
      <c r="AC27" s="71">
        <f>+Zal_1_WPF_wg_przeplywow!AC22</f>
        <v>0</v>
      </c>
      <c r="AD27" s="71">
        <f>+Zal_1_WPF_wg_przeplywow!AD22</f>
        <v>0</v>
      </c>
      <c r="AE27" s="71">
        <f>+Zal_1_WPF_wg_przeplywow!AE22</f>
        <v>0</v>
      </c>
      <c r="AF27" s="71">
        <f>+Zal_1_WPF_wg_przeplywow!AF22</f>
        <v>0</v>
      </c>
      <c r="AG27" s="71">
        <f>+Zal_1_WPF_wg_przeplywow!AG22</f>
        <v>0</v>
      </c>
      <c r="AH27" s="71">
        <f>+Zal_1_WPF_wg_przeplywow!AH22</f>
        <v>0</v>
      </c>
      <c r="AI27" s="71">
        <f>+Zal_1_WPF_wg_przeplywow!AI22</f>
        <v>0</v>
      </c>
      <c r="AJ27" s="71">
        <f>+Zal_1_WPF_wg_przeplywow!AJ22</f>
        <v>0</v>
      </c>
      <c r="AK27" s="71">
        <f>+Zal_1_WPF_wg_przeplywow!AK22</f>
        <v>0</v>
      </c>
      <c r="AL27" s="71">
        <f>+Zal_1_WPF_wg_przeplywow!AL22</f>
        <v>0</v>
      </c>
      <c r="AM27" s="71">
        <f>+Zal_1_WPF_wg_przeplywow!AM22</f>
        <v>0</v>
      </c>
      <c r="AN27" s="71">
        <f>+Zal_1_WPF_wg_przeplywow!AN22</f>
        <v>0</v>
      </c>
      <c r="AO27" s="71">
        <f>+Zal_1_WPF_wg_przeplywow!AO22</f>
        <v>0</v>
      </c>
    </row>
    <row r="28" spans="1:41" ht="12">
      <c r="A28" s="69"/>
      <c r="B28" s="70" t="s">
        <v>64</v>
      </c>
      <c r="C28" s="75">
        <f>+Zal_1_WPF_wg_przeplywow!C36</f>
        <v>3659400</v>
      </c>
      <c r="D28" s="75">
        <f>+Zal_1_WPF_wg_przeplywow!D36</f>
        <v>3040000</v>
      </c>
      <c r="E28" s="75">
        <f>+Zal_1_WPF_wg_przeplywow!E36</f>
        <v>406374</v>
      </c>
      <c r="F28" s="75">
        <f>+Zal_1_WPF_wg_przeplywow!F36</f>
        <v>985634</v>
      </c>
      <c r="G28" s="75">
        <f>+Zal_1_WPF_wg_przeplywow!G36</f>
        <v>1061703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  <c r="L28" s="75">
        <f>+Zal_1_WPF_wg_przeplywow!L36</f>
        <v>0</v>
      </c>
      <c r="M28" s="75">
        <f>+Zal_1_WPF_wg_przeplywow!M36</f>
        <v>0</v>
      </c>
      <c r="N28" s="75">
        <f>+Zal_1_WPF_wg_przeplywow!N36</f>
        <v>0</v>
      </c>
      <c r="O28" s="75">
        <f>+Zal_1_WPF_wg_przeplywow!O36</f>
        <v>0</v>
      </c>
      <c r="P28" s="75">
        <f>+Zal_1_WPF_wg_przeplywow!P36</f>
        <v>0</v>
      </c>
      <c r="Q28" s="75">
        <f>+Zal_1_WPF_wg_przeplywow!Q36</f>
        <v>0</v>
      </c>
      <c r="R28" s="75">
        <f>+Zal_1_WPF_wg_przeplywow!R36</f>
        <v>0</v>
      </c>
      <c r="S28" s="75">
        <f>+Zal_1_WPF_wg_przeplywow!S36</f>
        <v>0</v>
      </c>
      <c r="T28" s="75">
        <f>+Zal_1_WPF_wg_przeplywow!T36</f>
        <v>0</v>
      </c>
      <c r="U28" s="75">
        <f>+Zal_1_WPF_wg_przeplywow!U36</f>
        <v>0</v>
      </c>
      <c r="V28" s="75">
        <f>+Zal_1_WPF_wg_przeplywow!V36</f>
        <v>0</v>
      </c>
      <c r="W28" s="75">
        <f>+Zal_1_WPF_wg_przeplywow!W36</f>
        <v>0</v>
      </c>
      <c r="X28" s="75">
        <f>+Zal_1_WPF_wg_przeplywow!X36</f>
        <v>0</v>
      </c>
      <c r="Y28" s="75">
        <f>+Zal_1_WPF_wg_przeplywow!Y36</f>
        <v>0</v>
      </c>
      <c r="Z28" s="75">
        <f>+Zal_1_WPF_wg_przeplywow!Z36</f>
        <v>0</v>
      </c>
      <c r="AA28" s="75">
        <f>+Zal_1_WPF_wg_przeplywow!AA36</f>
        <v>0</v>
      </c>
      <c r="AB28" s="75">
        <f>+Zal_1_WPF_wg_przeplywow!AB36</f>
        <v>0</v>
      </c>
      <c r="AC28" s="75">
        <f>+Zal_1_WPF_wg_przeplywow!AC36</f>
        <v>0</v>
      </c>
      <c r="AD28" s="75">
        <f>+Zal_1_WPF_wg_przeplywow!AD36</f>
        <v>0</v>
      </c>
      <c r="AE28" s="75">
        <f>+Zal_1_WPF_wg_przeplywow!AE36</f>
        <v>0</v>
      </c>
      <c r="AF28" s="75">
        <f>+Zal_1_WPF_wg_przeplywow!AF36</f>
        <v>0</v>
      </c>
      <c r="AG28" s="75">
        <f>+Zal_1_WPF_wg_przeplywow!AG36</f>
        <v>0</v>
      </c>
      <c r="AH28" s="75">
        <f>+Zal_1_WPF_wg_przeplywow!AH36</f>
        <v>0</v>
      </c>
      <c r="AI28" s="75">
        <f>+Zal_1_WPF_wg_przeplywow!AI36</f>
        <v>0</v>
      </c>
      <c r="AJ28" s="75">
        <f>+Zal_1_WPF_wg_przeplywow!AJ36</f>
        <v>0</v>
      </c>
      <c r="AK28" s="75">
        <f>+Zal_1_WPF_wg_przeplywow!AK36</f>
        <v>0</v>
      </c>
      <c r="AL28" s="75">
        <f>+Zal_1_WPF_wg_przeplywow!AL36</f>
        <v>0</v>
      </c>
      <c r="AM28" s="75">
        <f>+Zal_1_WPF_wg_przeplywow!AM36</f>
        <v>0</v>
      </c>
      <c r="AN28" s="75">
        <f>+Zal_1_WPF_wg_przeplywow!AN36</f>
        <v>0</v>
      </c>
      <c r="AO28" s="75">
        <f>+Zal_1_WPF_wg_przeplywow!AO36</f>
        <v>0</v>
      </c>
    </row>
    <row r="29" spans="1:41" ht="12">
      <c r="A29" s="69"/>
      <c r="B29" s="72" t="s">
        <v>65</v>
      </c>
      <c r="C29" s="75">
        <f>+Zal_1_WPF_wg_przeplywow!C37</f>
        <v>498448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  <c r="L29" s="75">
        <f>+Zal_1_WPF_wg_przeplywow!L37</f>
        <v>0</v>
      </c>
      <c r="M29" s="75">
        <f>+Zal_1_WPF_wg_przeplywow!M37</f>
        <v>0</v>
      </c>
      <c r="N29" s="75">
        <f>+Zal_1_WPF_wg_przeplywow!N37</f>
        <v>0</v>
      </c>
      <c r="O29" s="75">
        <f>+Zal_1_WPF_wg_przeplywow!O37</f>
        <v>0</v>
      </c>
      <c r="P29" s="75">
        <f>+Zal_1_WPF_wg_przeplywow!P37</f>
        <v>0</v>
      </c>
      <c r="Q29" s="75">
        <f>+Zal_1_WPF_wg_przeplywow!Q37</f>
        <v>0</v>
      </c>
      <c r="R29" s="75">
        <f>+Zal_1_WPF_wg_przeplywow!R37</f>
        <v>0</v>
      </c>
      <c r="S29" s="75">
        <f>+Zal_1_WPF_wg_przeplywow!S37</f>
        <v>0</v>
      </c>
      <c r="T29" s="75">
        <f>+Zal_1_WPF_wg_przeplywow!T37</f>
        <v>0</v>
      </c>
      <c r="U29" s="75">
        <f>+Zal_1_WPF_wg_przeplywow!U37</f>
        <v>0</v>
      </c>
      <c r="V29" s="75">
        <f>+Zal_1_WPF_wg_przeplywow!V37</f>
        <v>0</v>
      </c>
      <c r="W29" s="75">
        <f>+Zal_1_WPF_wg_przeplywow!W37</f>
        <v>0</v>
      </c>
      <c r="X29" s="75">
        <f>+Zal_1_WPF_wg_przeplywow!X37</f>
        <v>0</v>
      </c>
      <c r="Y29" s="75">
        <f>+Zal_1_WPF_wg_przeplywow!Y37</f>
        <v>0</v>
      </c>
      <c r="Z29" s="75">
        <f>+Zal_1_WPF_wg_przeplywow!Z37</f>
        <v>0</v>
      </c>
      <c r="AA29" s="75">
        <f>+Zal_1_WPF_wg_przeplywow!AA37</f>
        <v>0</v>
      </c>
      <c r="AB29" s="75">
        <f>+Zal_1_WPF_wg_przeplywow!AB37</f>
        <v>0</v>
      </c>
      <c r="AC29" s="75">
        <f>+Zal_1_WPF_wg_przeplywow!AC37</f>
        <v>0</v>
      </c>
      <c r="AD29" s="75">
        <f>+Zal_1_WPF_wg_przeplywow!AD37</f>
        <v>0</v>
      </c>
      <c r="AE29" s="75">
        <f>+Zal_1_WPF_wg_przeplywow!AE37</f>
        <v>0</v>
      </c>
      <c r="AF29" s="75">
        <f>+Zal_1_WPF_wg_przeplywow!AF37</f>
        <v>0</v>
      </c>
      <c r="AG29" s="75">
        <f>+Zal_1_WPF_wg_przeplywow!AG37</f>
        <v>0</v>
      </c>
      <c r="AH29" s="75">
        <f>+Zal_1_WPF_wg_przeplywow!AH37</f>
        <v>0</v>
      </c>
      <c r="AI29" s="75">
        <f>+Zal_1_WPF_wg_przeplywow!AI37</f>
        <v>0</v>
      </c>
      <c r="AJ29" s="75">
        <f>+Zal_1_WPF_wg_przeplywow!AJ37</f>
        <v>0</v>
      </c>
      <c r="AK29" s="75">
        <f>+Zal_1_WPF_wg_przeplywow!AK37</f>
        <v>0</v>
      </c>
      <c r="AL29" s="75">
        <f>+Zal_1_WPF_wg_przeplywow!AL37</f>
        <v>0</v>
      </c>
      <c r="AM29" s="75">
        <f>+Zal_1_WPF_wg_przeplywow!AM37</f>
        <v>0</v>
      </c>
      <c r="AN29" s="75">
        <f>+Zal_1_WPF_wg_przeplywow!AN37</f>
        <v>0</v>
      </c>
      <c r="AO29" s="75">
        <f>+Zal_1_WPF_wg_przeplywow!AO37</f>
        <v>0</v>
      </c>
    </row>
    <row r="30" spans="1:4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  <c r="L30" s="75">
        <f>+Zal_1_WPF_wg_przeplywow!L23</f>
        <v>0</v>
      </c>
      <c r="M30" s="75">
        <f>+Zal_1_WPF_wg_przeplywow!M23</f>
        <v>0</v>
      </c>
      <c r="N30" s="75">
        <f>+Zal_1_WPF_wg_przeplywow!N23</f>
        <v>0</v>
      </c>
      <c r="O30" s="75">
        <f>+Zal_1_WPF_wg_przeplywow!O23</f>
        <v>0</v>
      </c>
      <c r="P30" s="75">
        <f>+Zal_1_WPF_wg_przeplywow!P23</f>
        <v>0</v>
      </c>
      <c r="Q30" s="75">
        <f>+Zal_1_WPF_wg_przeplywow!Q23</f>
        <v>0</v>
      </c>
      <c r="R30" s="75">
        <f>+Zal_1_WPF_wg_przeplywow!R23</f>
        <v>0</v>
      </c>
      <c r="S30" s="75">
        <f>+Zal_1_WPF_wg_przeplywow!S23</f>
        <v>0</v>
      </c>
      <c r="T30" s="75">
        <f>+Zal_1_WPF_wg_przeplywow!T23</f>
        <v>0</v>
      </c>
      <c r="U30" s="75">
        <f>+Zal_1_WPF_wg_przeplywow!U23</f>
        <v>0</v>
      </c>
      <c r="V30" s="75">
        <f>+Zal_1_WPF_wg_przeplywow!V23</f>
        <v>0</v>
      </c>
      <c r="W30" s="75">
        <f>+Zal_1_WPF_wg_przeplywow!W23</f>
        <v>0</v>
      </c>
      <c r="X30" s="75">
        <f>+Zal_1_WPF_wg_przeplywow!X23</f>
        <v>0</v>
      </c>
      <c r="Y30" s="75">
        <f>+Zal_1_WPF_wg_przeplywow!Y23</f>
        <v>0</v>
      </c>
      <c r="Z30" s="75">
        <f>+Zal_1_WPF_wg_przeplywow!Z23</f>
        <v>0</v>
      </c>
      <c r="AA30" s="75">
        <f>+Zal_1_WPF_wg_przeplywow!AA23</f>
        <v>0</v>
      </c>
      <c r="AB30" s="75">
        <f>+Zal_1_WPF_wg_przeplywow!AB23</f>
        <v>0</v>
      </c>
      <c r="AC30" s="75">
        <f>+Zal_1_WPF_wg_przeplywow!AC23</f>
        <v>0</v>
      </c>
      <c r="AD30" s="75">
        <f>+Zal_1_WPF_wg_przeplywow!AD23</f>
        <v>0</v>
      </c>
      <c r="AE30" s="75">
        <f>+Zal_1_WPF_wg_przeplywow!AE23</f>
        <v>0</v>
      </c>
      <c r="AF30" s="75">
        <f>+Zal_1_WPF_wg_przeplywow!AF23</f>
        <v>0</v>
      </c>
      <c r="AG30" s="75">
        <f>+Zal_1_WPF_wg_przeplywow!AG23</f>
        <v>0</v>
      </c>
      <c r="AH30" s="75">
        <f>+Zal_1_WPF_wg_przeplywow!AH23</f>
        <v>0</v>
      </c>
      <c r="AI30" s="75">
        <f>+Zal_1_WPF_wg_przeplywow!AI23</f>
        <v>0</v>
      </c>
      <c r="AJ30" s="75">
        <f>+Zal_1_WPF_wg_przeplywow!AJ23</f>
        <v>0</v>
      </c>
      <c r="AK30" s="75">
        <f>+Zal_1_WPF_wg_przeplywow!AK23</f>
        <v>0</v>
      </c>
      <c r="AL30" s="75">
        <f>+Zal_1_WPF_wg_przeplywow!AL23</f>
        <v>0</v>
      </c>
      <c r="AM30" s="75">
        <f>+Zal_1_WPF_wg_przeplywow!AM23</f>
        <v>0</v>
      </c>
      <c r="AN30" s="75">
        <f>+Zal_1_WPF_wg_przeplywow!AN23</f>
        <v>0</v>
      </c>
      <c r="AO30" s="75">
        <f>+Zal_1_WPF_wg_przeplywow!AO23</f>
        <v>0</v>
      </c>
    </row>
    <row r="31" spans="1:41" ht="12">
      <c r="A31" s="83"/>
      <c r="B31" s="86" t="s">
        <v>65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  <c r="L31" s="88">
        <f>+Zal_1_WPF_wg_przeplywow!L24</f>
        <v>0</v>
      </c>
      <c r="M31" s="88">
        <f>+Zal_1_WPF_wg_przeplywow!M24</f>
        <v>0</v>
      </c>
      <c r="N31" s="88">
        <f>+Zal_1_WPF_wg_przeplywow!N24</f>
        <v>0</v>
      </c>
      <c r="O31" s="88">
        <f>+Zal_1_WPF_wg_przeplywow!O24</f>
        <v>0</v>
      </c>
      <c r="P31" s="88">
        <f>+Zal_1_WPF_wg_przeplywow!P24</f>
        <v>0</v>
      </c>
      <c r="Q31" s="88">
        <f>+Zal_1_WPF_wg_przeplywow!Q24</f>
        <v>0</v>
      </c>
      <c r="R31" s="88">
        <f>+Zal_1_WPF_wg_przeplywow!R24</f>
        <v>0</v>
      </c>
      <c r="S31" s="88">
        <f>+Zal_1_WPF_wg_przeplywow!S24</f>
        <v>0</v>
      </c>
      <c r="T31" s="88">
        <f>+Zal_1_WPF_wg_przeplywow!T24</f>
        <v>0</v>
      </c>
      <c r="U31" s="88">
        <f>+Zal_1_WPF_wg_przeplywow!U24</f>
        <v>0</v>
      </c>
      <c r="V31" s="88">
        <f>+Zal_1_WPF_wg_przeplywow!V24</f>
        <v>0</v>
      </c>
      <c r="W31" s="88">
        <f>+Zal_1_WPF_wg_przeplywow!W24</f>
        <v>0</v>
      </c>
      <c r="X31" s="88">
        <f>+Zal_1_WPF_wg_przeplywow!X24</f>
        <v>0</v>
      </c>
      <c r="Y31" s="88">
        <f>+Zal_1_WPF_wg_przeplywow!Y24</f>
        <v>0</v>
      </c>
      <c r="Z31" s="88">
        <f>+Zal_1_WPF_wg_przeplywow!Z24</f>
        <v>0</v>
      </c>
      <c r="AA31" s="88">
        <f>+Zal_1_WPF_wg_przeplywow!AA24</f>
        <v>0</v>
      </c>
      <c r="AB31" s="88">
        <f>+Zal_1_WPF_wg_przeplywow!AB24</f>
        <v>0</v>
      </c>
      <c r="AC31" s="88">
        <f>+Zal_1_WPF_wg_przeplywow!AC24</f>
        <v>0</v>
      </c>
      <c r="AD31" s="88">
        <f>+Zal_1_WPF_wg_przeplywow!AD24</f>
        <v>0</v>
      </c>
      <c r="AE31" s="88">
        <f>+Zal_1_WPF_wg_przeplywow!AE24</f>
        <v>0</v>
      </c>
      <c r="AF31" s="88">
        <f>+Zal_1_WPF_wg_przeplywow!AF24</f>
        <v>0</v>
      </c>
      <c r="AG31" s="88">
        <f>+Zal_1_WPF_wg_przeplywow!AG24</f>
        <v>0</v>
      </c>
      <c r="AH31" s="88">
        <f>+Zal_1_WPF_wg_przeplywow!AH24</f>
        <v>0</v>
      </c>
      <c r="AI31" s="88">
        <f>+Zal_1_WPF_wg_przeplywow!AI24</f>
        <v>0</v>
      </c>
      <c r="AJ31" s="88">
        <f>+Zal_1_WPF_wg_przeplywow!AJ24</f>
        <v>0</v>
      </c>
      <c r="AK31" s="88">
        <f>+Zal_1_WPF_wg_przeplywow!AK24</f>
        <v>0</v>
      </c>
      <c r="AL31" s="88">
        <f>+Zal_1_WPF_wg_przeplywow!AL24</f>
        <v>0</v>
      </c>
      <c r="AM31" s="88">
        <f>+Zal_1_WPF_wg_przeplywow!AM24</f>
        <v>0</v>
      </c>
      <c r="AN31" s="88">
        <f>+Zal_1_WPF_wg_przeplywow!AN24</f>
        <v>0</v>
      </c>
      <c r="AO31" s="88">
        <f>+Zal_1_WPF_wg_przeplywow!AO24</f>
        <v>0</v>
      </c>
    </row>
    <row r="32" spans="1:41" ht="12">
      <c r="A32" s="66" t="s">
        <v>10</v>
      </c>
      <c r="B32" s="67" t="s">
        <v>52</v>
      </c>
      <c r="C32" s="68">
        <f>+C33+C35</f>
        <v>3160952</v>
      </c>
      <c r="D32" s="68">
        <f aca="true" t="shared" si="13" ref="D32:AD32">+D33+D35</f>
        <v>3670600</v>
      </c>
      <c r="E32" s="68">
        <f t="shared" si="13"/>
        <v>781000</v>
      </c>
      <c r="F32" s="68">
        <f t="shared" si="13"/>
        <v>1396900</v>
      </c>
      <c r="G32" s="68">
        <f t="shared" si="13"/>
        <v>1500000</v>
      </c>
      <c r="H32" s="68">
        <f t="shared" si="13"/>
        <v>1694000</v>
      </c>
      <c r="I32" s="68">
        <f t="shared" si="13"/>
        <v>1950000</v>
      </c>
      <c r="J32" s="68">
        <f t="shared" si="13"/>
        <v>2450000</v>
      </c>
      <c r="K32" s="68">
        <f t="shared" si="13"/>
        <v>500000</v>
      </c>
      <c r="L32" s="68">
        <f t="shared" si="13"/>
        <v>2566576</v>
      </c>
      <c r="M32" s="68">
        <f t="shared" si="13"/>
        <v>1693635</v>
      </c>
      <c r="N32" s="68">
        <f t="shared" si="13"/>
        <v>0</v>
      </c>
      <c r="O32" s="68">
        <f t="shared" si="13"/>
        <v>0</v>
      </c>
      <c r="P32" s="68">
        <f t="shared" si="13"/>
        <v>0</v>
      </c>
      <c r="Q32" s="68">
        <f t="shared" si="13"/>
        <v>0</v>
      </c>
      <c r="R32" s="68">
        <f t="shared" si="13"/>
        <v>0</v>
      </c>
      <c r="S32" s="68">
        <f t="shared" si="13"/>
        <v>0</v>
      </c>
      <c r="T32" s="68">
        <f t="shared" si="13"/>
        <v>0</v>
      </c>
      <c r="U32" s="68">
        <f t="shared" si="13"/>
        <v>0</v>
      </c>
      <c r="V32" s="68">
        <f t="shared" si="13"/>
        <v>0</v>
      </c>
      <c r="W32" s="68">
        <f t="shared" si="13"/>
        <v>0</v>
      </c>
      <c r="X32" s="68">
        <f t="shared" si="13"/>
        <v>0</v>
      </c>
      <c r="Y32" s="68">
        <f t="shared" si="13"/>
        <v>0</v>
      </c>
      <c r="Z32" s="68">
        <f t="shared" si="13"/>
        <v>0</v>
      </c>
      <c r="AA32" s="68">
        <f t="shared" si="13"/>
        <v>0</v>
      </c>
      <c r="AB32" s="68">
        <f t="shared" si="13"/>
        <v>0</v>
      </c>
      <c r="AC32" s="68">
        <f t="shared" si="13"/>
        <v>0</v>
      </c>
      <c r="AD32" s="68">
        <f t="shared" si="13"/>
        <v>0</v>
      </c>
      <c r="AE32" s="68">
        <f aca="true" t="shared" si="14" ref="AE32:AO32">+AE33+AE35</f>
        <v>0</v>
      </c>
      <c r="AF32" s="68">
        <f t="shared" si="14"/>
        <v>0</v>
      </c>
      <c r="AG32" s="68">
        <f t="shared" si="14"/>
        <v>0</v>
      </c>
      <c r="AH32" s="68">
        <f t="shared" si="14"/>
        <v>0</v>
      </c>
      <c r="AI32" s="68">
        <f t="shared" si="14"/>
        <v>0</v>
      </c>
      <c r="AJ32" s="68">
        <f t="shared" si="14"/>
        <v>0</v>
      </c>
      <c r="AK32" s="68">
        <f t="shared" si="14"/>
        <v>0</v>
      </c>
      <c r="AL32" s="68">
        <f t="shared" si="14"/>
        <v>0</v>
      </c>
      <c r="AM32" s="68">
        <f t="shared" si="14"/>
        <v>0</v>
      </c>
      <c r="AN32" s="68">
        <f t="shared" si="14"/>
        <v>0</v>
      </c>
      <c r="AO32" s="68">
        <f t="shared" si="14"/>
        <v>0</v>
      </c>
    </row>
    <row r="33" spans="1:41" ht="12">
      <c r="A33" s="69"/>
      <c r="B33" s="70" t="s">
        <v>66</v>
      </c>
      <c r="C33" s="71">
        <f>+Zal_1_WPF_wg_przeplywow!C27</f>
        <v>3160952</v>
      </c>
      <c r="D33" s="71">
        <f>+Zal_1_WPF_wg_przeplywow!D27</f>
        <v>3670600</v>
      </c>
      <c r="E33" s="71">
        <f>+Zal_1_WPF_wg_przeplywow!E27</f>
        <v>781000</v>
      </c>
      <c r="F33" s="71">
        <f>+Zal_1_WPF_wg_przeplywow!F27</f>
        <v>1396900</v>
      </c>
      <c r="G33" s="71">
        <f>+Zal_1_WPF_wg_przeplywow!G27</f>
        <v>1500000</v>
      </c>
      <c r="H33" s="71">
        <f>+Zal_1_WPF_wg_przeplywow!H27</f>
        <v>1694000</v>
      </c>
      <c r="I33" s="71">
        <f>+Zal_1_WPF_wg_przeplywow!I27</f>
        <v>1950000</v>
      </c>
      <c r="J33" s="71">
        <f>+Zal_1_WPF_wg_przeplywow!J27</f>
        <v>2450000</v>
      </c>
      <c r="K33" s="71">
        <f>+Zal_1_WPF_wg_przeplywow!K27</f>
        <v>500000</v>
      </c>
      <c r="L33" s="71">
        <f>+Zal_1_WPF_wg_przeplywow!L27</f>
        <v>2566576</v>
      </c>
      <c r="M33" s="71">
        <f>+Zal_1_WPF_wg_przeplywow!M27</f>
        <v>1693635</v>
      </c>
      <c r="N33" s="71">
        <f>+Zal_1_WPF_wg_przeplywow!N27</f>
        <v>0</v>
      </c>
      <c r="O33" s="71">
        <f>+Zal_1_WPF_wg_przeplywow!O27</f>
        <v>0</v>
      </c>
      <c r="P33" s="71">
        <f>+Zal_1_WPF_wg_przeplywow!P27</f>
        <v>0</v>
      </c>
      <c r="Q33" s="71">
        <f>+Zal_1_WPF_wg_przeplywow!Q27</f>
        <v>0</v>
      </c>
      <c r="R33" s="71">
        <f>+Zal_1_WPF_wg_przeplywow!R27</f>
        <v>0</v>
      </c>
      <c r="S33" s="71">
        <f>+Zal_1_WPF_wg_przeplywow!S27</f>
        <v>0</v>
      </c>
      <c r="T33" s="71">
        <f>+Zal_1_WPF_wg_przeplywow!T27</f>
        <v>0</v>
      </c>
      <c r="U33" s="71">
        <f>+Zal_1_WPF_wg_przeplywow!U27</f>
        <v>0</v>
      </c>
      <c r="V33" s="71">
        <f>+Zal_1_WPF_wg_przeplywow!V27</f>
        <v>0</v>
      </c>
      <c r="W33" s="71">
        <f>+Zal_1_WPF_wg_przeplywow!W27</f>
        <v>0</v>
      </c>
      <c r="X33" s="71">
        <f>+Zal_1_WPF_wg_przeplywow!X27</f>
        <v>0</v>
      </c>
      <c r="Y33" s="71">
        <f>+Zal_1_WPF_wg_przeplywow!Y27</f>
        <v>0</v>
      </c>
      <c r="Z33" s="71">
        <f>+Zal_1_WPF_wg_przeplywow!Z27</f>
        <v>0</v>
      </c>
      <c r="AA33" s="71">
        <f>+Zal_1_WPF_wg_przeplywow!AA27</f>
        <v>0</v>
      </c>
      <c r="AB33" s="71">
        <f>+Zal_1_WPF_wg_przeplywow!AB27</f>
        <v>0</v>
      </c>
      <c r="AC33" s="71">
        <f>+Zal_1_WPF_wg_przeplywow!AC27</f>
        <v>0</v>
      </c>
      <c r="AD33" s="71">
        <f>+Zal_1_WPF_wg_przeplywow!AD27</f>
        <v>0</v>
      </c>
      <c r="AE33" s="71">
        <f>+Zal_1_WPF_wg_przeplywow!AE27</f>
        <v>0</v>
      </c>
      <c r="AF33" s="71">
        <f>+Zal_1_WPF_wg_przeplywow!AF27</f>
        <v>0</v>
      </c>
      <c r="AG33" s="71">
        <f>+Zal_1_WPF_wg_przeplywow!AG27</f>
        <v>0</v>
      </c>
      <c r="AH33" s="71">
        <f>+Zal_1_WPF_wg_przeplywow!AH27</f>
        <v>0</v>
      </c>
      <c r="AI33" s="71">
        <f>+Zal_1_WPF_wg_przeplywow!AI27</f>
        <v>0</v>
      </c>
      <c r="AJ33" s="71">
        <f>+Zal_1_WPF_wg_przeplywow!AJ27</f>
        <v>0</v>
      </c>
      <c r="AK33" s="71">
        <f>+Zal_1_WPF_wg_przeplywow!AK27</f>
        <v>0</v>
      </c>
      <c r="AL33" s="71">
        <f>+Zal_1_WPF_wg_przeplywow!AL27</f>
        <v>0</v>
      </c>
      <c r="AM33" s="71">
        <f>+Zal_1_WPF_wg_przeplywow!AM27</f>
        <v>0</v>
      </c>
      <c r="AN33" s="71">
        <f>+Zal_1_WPF_wg_przeplywow!AN27</f>
        <v>0</v>
      </c>
      <c r="AO33" s="71">
        <f>+Zal_1_WPF_wg_przeplywow!AO27</f>
        <v>0</v>
      </c>
    </row>
    <row r="34" spans="1:41" ht="24">
      <c r="A34" s="69"/>
      <c r="B34" s="72" t="s">
        <v>67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  <c r="L34" s="71">
        <f>+Zal_1_WPF_wg_przeplywow!L28</f>
        <v>0</v>
      </c>
      <c r="M34" s="71">
        <f>+Zal_1_WPF_wg_przeplywow!M28</f>
        <v>0</v>
      </c>
      <c r="N34" s="71">
        <f>+Zal_1_WPF_wg_przeplywow!N28</f>
        <v>0</v>
      </c>
      <c r="O34" s="71">
        <f>+Zal_1_WPF_wg_przeplywow!O28</f>
        <v>0</v>
      </c>
      <c r="P34" s="71">
        <f>+Zal_1_WPF_wg_przeplywow!P28</f>
        <v>0</v>
      </c>
      <c r="Q34" s="71">
        <f>+Zal_1_WPF_wg_przeplywow!Q28</f>
        <v>0</v>
      </c>
      <c r="R34" s="71">
        <f>+Zal_1_WPF_wg_przeplywow!R28</f>
        <v>0</v>
      </c>
      <c r="S34" s="71">
        <f>+Zal_1_WPF_wg_przeplywow!S28</f>
        <v>0</v>
      </c>
      <c r="T34" s="71">
        <f>+Zal_1_WPF_wg_przeplywow!T28</f>
        <v>0</v>
      </c>
      <c r="U34" s="71">
        <f>+Zal_1_WPF_wg_przeplywow!U28</f>
        <v>0</v>
      </c>
      <c r="V34" s="71">
        <f>+Zal_1_WPF_wg_przeplywow!V28</f>
        <v>0</v>
      </c>
      <c r="W34" s="71">
        <f>+Zal_1_WPF_wg_przeplywow!W28</f>
        <v>0</v>
      </c>
      <c r="X34" s="71">
        <f>+Zal_1_WPF_wg_przeplywow!X28</f>
        <v>0</v>
      </c>
      <c r="Y34" s="71">
        <f>+Zal_1_WPF_wg_przeplywow!Y28</f>
        <v>0</v>
      </c>
      <c r="Z34" s="71">
        <f>+Zal_1_WPF_wg_przeplywow!Z28</f>
        <v>0</v>
      </c>
      <c r="AA34" s="71">
        <f>+Zal_1_WPF_wg_przeplywow!AA28</f>
        <v>0</v>
      </c>
      <c r="AB34" s="71">
        <f>+Zal_1_WPF_wg_przeplywow!AB28</f>
        <v>0</v>
      </c>
      <c r="AC34" s="71">
        <f>+Zal_1_WPF_wg_przeplywow!AC28</f>
        <v>0</v>
      </c>
      <c r="AD34" s="71">
        <f>+Zal_1_WPF_wg_przeplywow!AD28</f>
        <v>0</v>
      </c>
      <c r="AE34" s="71">
        <f>+Zal_1_WPF_wg_przeplywow!AE28</f>
        <v>0</v>
      </c>
      <c r="AF34" s="71">
        <f>+Zal_1_WPF_wg_przeplywow!AF28</f>
        <v>0</v>
      </c>
      <c r="AG34" s="71">
        <f>+Zal_1_WPF_wg_przeplywow!AG28</f>
        <v>0</v>
      </c>
      <c r="AH34" s="71">
        <f>+Zal_1_WPF_wg_przeplywow!AH28</f>
        <v>0</v>
      </c>
      <c r="AI34" s="71">
        <f>+Zal_1_WPF_wg_przeplywow!AI28</f>
        <v>0</v>
      </c>
      <c r="AJ34" s="71">
        <f>+Zal_1_WPF_wg_przeplywow!AJ28</f>
        <v>0</v>
      </c>
      <c r="AK34" s="71">
        <f>+Zal_1_WPF_wg_przeplywow!AK28</f>
        <v>0</v>
      </c>
      <c r="AL34" s="71">
        <f>+Zal_1_WPF_wg_przeplywow!AL28</f>
        <v>0</v>
      </c>
      <c r="AM34" s="71">
        <f>+Zal_1_WPF_wg_przeplywow!AM28</f>
        <v>0</v>
      </c>
      <c r="AN34" s="71">
        <f>+Zal_1_WPF_wg_przeplywow!AN28</f>
        <v>0</v>
      </c>
      <c r="AO34" s="71">
        <f>+Zal_1_WPF_wg_przeplywow!AO28</f>
        <v>0</v>
      </c>
    </row>
    <row r="35" spans="1:4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  <c r="L35" s="88">
        <f>+Zal_1_WPF_wg_przeplywow!L31</f>
        <v>0</v>
      </c>
      <c r="M35" s="88">
        <f>+Zal_1_WPF_wg_przeplywow!M31</f>
        <v>0</v>
      </c>
      <c r="N35" s="88">
        <f>+Zal_1_WPF_wg_przeplywow!N31</f>
        <v>0</v>
      </c>
      <c r="O35" s="88">
        <f>+Zal_1_WPF_wg_przeplywow!O31</f>
        <v>0</v>
      </c>
      <c r="P35" s="88">
        <f>+Zal_1_WPF_wg_przeplywow!P31</f>
        <v>0</v>
      </c>
      <c r="Q35" s="88">
        <f>+Zal_1_WPF_wg_przeplywow!Q31</f>
        <v>0</v>
      </c>
      <c r="R35" s="88">
        <f>+Zal_1_WPF_wg_przeplywow!R31</f>
        <v>0</v>
      </c>
      <c r="S35" s="88">
        <f>+Zal_1_WPF_wg_przeplywow!S31</f>
        <v>0</v>
      </c>
      <c r="T35" s="88">
        <f>+Zal_1_WPF_wg_przeplywow!T31</f>
        <v>0</v>
      </c>
      <c r="U35" s="88">
        <f>+Zal_1_WPF_wg_przeplywow!U31</f>
        <v>0</v>
      </c>
      <c r="V35" s="88">
        <f>+Zal_1_WPF_wg_przeplywow!V31</f>
        <v>0</v>
      </c>
      <c r="W35" s="88">
        <f>+Zal_1_WPF_wg_przeplywow!W31</f>
        <v>0</v>
      </c>
      <c r="X35" s="88">
        <f>+Zal_1_WPF_wg_przeplywow!X31</f>
        <v>0</v>
      </c>
      <c r="Y35" s="88">
        <f>+Zal_1_WPF_wg_przeplywow!Y31</f>
        <v>0</v>
      </c>
      <c r="Z35" s="88">
        <f>+Zal_1_WPF_wg_przeplywow!Z31</f>
        <v>0</v>
      </c>
      <c r="AA35" s="88">
        <f>+Zal_1_WPF_wg_przeplywow!AA31</f>
        <v>0</v>
      </c>
      <c r="AB35" s="88">
        <f>+Zal_1_WPF_wg_przeplywow!AB31</f>
        <v>0</v>
      </c>
      <c r="AC35" s="88">
        <f>+Zal_1_WPF_wg_przeplywow!AC31</f>
        <v>0</v>
      </c>
      <c r="AD35" s="88">
        <f>+Zal_1_WPF_wg_przeplywow!AD31</f>
        <v>0</v>
      </c>
      <c r="AE35" s="88">
        <f>+Zal_1_WPF_wg_przeplywow!AE31</f>
        <v>0</v>
      </c>
      <c r="AF35" s="88">
        <f>+Zal_1_WPF_wg_przeplywow!AF31</f>
        <v>0</v>
      </c>
      <c r="AG35" s="88">
        <f>+Zal_1_WPF_wg_przeplywow!AG31</f>
        <v>0</v>
      </c>
      <c r="AH35" s="88">
        <f>+Zal_1_WPF_wg_przeplywow!AH31</f>
        <v>0</v>
      </c>
      <c r="AI35" s="88">
        <f>+Zal_1_WPF_wg_przeplywow!AI31</f>
        <v>0</v>
      </c>
      <c r="AJ35" s="88">
        <f>+Zal_1_WPF_wg_przeplywow!AJ31</f>
        <v>0</v>
      </c>
      <c r="AK35" s="88">
        <f>+Zal_1_WPF_wg_przeplywow!AK31</f>
        <v>0</v>
      </c>
      <c r="AL35" s="88">
        <f>+Zal_1_WPF_wg_przeplywow!AL31</f>
        <v>0</v>
      </c>
      <c r="AM35" s="88">
        <f>+Zal_1_WPF_wg_przeplywow!AM31</f>
        <v>0</v>
      </c>
      <c r="AN35" s="88">
        <f>+Zal_1_WPF_wg_przeplywow!AN31</f>
        <v>0</v>
      </c>
      <c r="AO35" s="88">
        <f>+Zal_1_WPF_wg_przeplywow!AO31</f>
        <v>0</v>
      </c>
    </row>
    <row r="36" spans="1:246" s="30" customFormat="1" ht="12">
      <c r="A36" s="66" t="s">
        <v>11</v>
      </c>
      <c r="B36" s="67" t="s">
        <v>68</v>
      </c>
      <c r="C36" s="68">
        <f>+Zal_1_WPF_wg_przeplywow!C39</f>
        <v>12709000</v>
      </c>
      <c r="D36" s="68">
        <f>+Zal_1_WPF_wg_przeplywow!D39</f>
        <v>12078400</v>
      </c>
      <c r="E36" s="68">
        <f>+Zal_1_WPF_wg_przeplywow!E39</f>
        <v>11703774</v>
      </c>
      <c r="F36" s="68">
        <f>+Zal_1_WPF_wg_przeplywow!F39</f>
        <v>11292508</v>
      </c>
      <c r="G36" s="68">
        <f>+Zal_1_WPF_wg_przeplywow!G39</f>
        <v>10854211</v>
      </c>
      <c r="H36" s="68">
        <f>+Zal_1_WPF_wg_przeplywow!H39</f>
        <v>9160211</v>
      </c>
      <c r="I36" s="68">
        <f>+Zal_1_WPF_wg_przeplywow!I39</f>
        <v>7210211</v>
      </c>
      <c r="J36" s="68">
        <f>+Zal_1_WPF_wg_przeplywow!J39</f>
        <v>4760211</v>
      </c>
      <c r="K36" s="68">
        <f>+Zal_1_WPF_wg_przeplywow!K39</f>
        <v>4260211</v>
      </c>
      <c r="L36" s="68">
        <f>+Zal_1_WPF_wg_przeplywow!L39</f>
        <v>1693635</v>
      </c>
      <c r="M36" s="68">
        <f>+Zal_1_WPF_wg_przeplywow!M39</f>
        <v>0</v>
      </c>
      <c r="N36" s="68">
        <f>+Zal_1_WPF_wg_przeplywow!N39</f>
        <v>0</v>
      </c>
      <c r="O36" s="68">
        <f>+Zal_1_WPF_wg_przeplywow!O39</f>
        <v>0</v>
      </c>
      <c r="P36" s="68">
        <f>+Zal_1_WPF_wg_przeplywow!P39</f>
        <v>0</v>
      </c>
      <c r="Q36" s="68">
        <f>+Zal_1_WPF_wg_przeplywow!Q39</f>
        <v>0</v>
      </c>
      <c r="R36" s="68">
        <f>+Zal_1_WPF_wg_przeplywow!R39</f>
        <v>0</v>
      </c>
      <c r="S36" s="68">
        <f>+Zal_1_WPF_wg_przeplywow!S39</f>
        <v>0</v>
      </c>
      <c r="T36" s="68">
        <f>+Zal_1_WPF_wg_przeplywow!T39</f>
        <v>0</v>
      </c>
      <c r="U36" s="68">
        <f>+Zal_1_WPF_wg_przeplywow!U39</f>
        <v>0</v>
      </c>
      <c r="V36" s="68">
        <f>+Zal_1_WPF_wg_przeplywow!V39</f>
        <v>0</v>
      </c>
      <c r="W36" s="68">
        <f>+Zal_1_WPF_wg_przeplywow!W39</f>
        <v>0</v>
      </c>
      <c r="X36" s="68">
        <f>+Zal_1_WPF_wg_przeplywow!X39</f>
        <v>0</v>
      </c>
      <c r="Y36" s="68">
        <f>+Zal_1_WPF_wg_przeplywow!Y39</f>
        <v>0</v>
      </c>
      <c r="Z36" s="68">
        <f>+Zal_1_WPF_wg_przeplywow!Z39</f>
        <v>0</v>
      </c>
      <c r="AA36" s="68">
        <f>+Zal_1_WPF_wg_przeplywow!AA39</f>
        <v>0</v>
      </c>
      <c r="AB36" s="68">
        <f>+Zal_1_WPF_wg_przeplywow!AB39</f>
        <v>0</v>
      </c>
      <c r="AC36" s="68">
        <f>+Zal_1_WPF_wg_przeplywow!AC39</f>
        <v>0</v>
      </c>
      <c r="AD36" s="68">
        <f>+Zal_1_WPF_wg_przeplywow!AD39</f>
        <v>0</v>
      </c>
      <c r="AE36" s="68">
        <f>+Zal_1_WPF_wg_przeplywow!AE39</f>
        <v>0</v>
      </c>
      <c r="AF36" s="68">
        <f>+Zal_1_WPF_wg_przeplywow!AF39</f>
        <v>0</v>
      </c>
      <c r="AG36" s="68">
        <f>+Zal_1_WPF_wg_przeplywow!AG39</f>
        <v>0</v>
      </c>
      <c r="AH36" s="68">
        <f>+Zal_1_WPF_wg_przeplywow!AH39</f>
        <v>0</v>
      </c>
      <c r="AI36" s="68">
        <f>+Zal_1_WPF_wg_przeplywow!AI39</f>
        <v>0</v>
      </c>
      <c r="AJ36" s="68">
        <f>+Zal_1_WPF_wg_przeplywow!AJ39</f>
        <v>0</v>
      </c>
      <c r="AK36" s="68">
        <f>+Zal_1_WPF_wg_przeplywow!AK39</f>
        <v>0</v>
      </c>
      <c r="AL36" s="68">
        <f>+Zal_1_WPF_wg_przeplywow!AL39</f>
        <v>0</v>
      </c>
      <c r="AM36" s="68">
        <f>+Zal_1_WPF_wg_przeplywow!AM39</f>
        <v>0</v>
      </c>
      <c r="AN36" s="68">
        <f>+Zal_1_WPF_wg_przeplywow!AN39</f>
        <v>0</v>
      </c>
      <c r="AO36" s="68">
        <f>+Zal_1_WPF_wg_przeplywow!AO39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7"/>
      <c r="B37" s="84" t="s">
        <v>69</v>
      </c>
      <c r="C37" s="88">
        <f>+Zal_1_WPF_wg_przeplywow!C40</f>
        <v>0</v>
      </c>
      <c r="D37" s="88">
        <f>+Zal_1_WPF_wg_przeplywow!D40</f>
        <v>0</v>
      </c>
      <c r="E37" s="88">
        <f>+Zal_1_WPF_wg_przeplywow!E40</f>
        <v>0</v>
      </c>
      <c r="F37" s="88">
        <f>+Zal_1_WPF_wg_przeplywow!F40</f>
        <v>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  <c r="L37" s="88">
        <f>+Zal_1_WPF_wg_przeplywow!L40</f>
        <v>0</v>
      </c>
      <c r="M37" s="88">
        <f>+Zal_1_WPF_wg_przeplywow!M40</f>
        <v>0</v>
      </c>
      <c r="N37" s="88">
        <f>+Zal_1_WPF_wg_przeplywow!N40</f>
        <v>0</v>
      </c>
      <c r="O37" s="88">
        <f>+Zal_1_WPF_wg_przeplywow!O40</f>
        <v>0</v>
      </c>
      <c r="P37" s="88">
        <f>+Zal_1_WPF_wg_przeplywow!P40</f>
        <v>0</v>
      </c>
      <c r="Q37" s="88">
        <f>+Zal_1_WPF_wg_przeplywow!Q40</f>
        <v>0</v>
      </c>
      <c r="R37" s="88">
        <f>+Zal_1_WPF_wg_przeplywow!R40</f>
        <v>0</v>
      </c>
      <c r="S37" s="88">
        <f>+Zal_1_WPF_wg_przeplywow!S40</f>
        <v>0</v>
      </c>
      <c r="T37" s="88">
        <f>+Zal_1_WPF_wg_przeplywow!T40</f>
        <v>0</v>
      </c>
      <c r="U37" s="88">
        <f>+Zal_1_WPF_wg_przeplywow!U40</f>
        <v>0</v>
      </c>
      <c r="V37" s="88">
        <f>+Zal_1_WPF_wg_przeplywow!V40</f>
        <v>0</v>
      </c>
      <c r="W37" s="88">
        <f>+Zal_1_WPF_wg_przeplywow!W40</f>
        <v>0</v>
      </c>
      <c r="X37" s="88">
        <f>+Zal_1_WPF_wg_przeplywow!X40</f>
        <v>0</v>
      </c>
      <c r="Y37" s="88">
        <f>+Zal_1_WPF_wg_przeplywow!Y40</f>
        <v>0</v>
      </c>
      <c r="Z37" s="88">
        <f>+Zal_1_WPF_wg_przeplywow!Z40</f>
        <v>0</v>
      </c>
      <c r="AA37" s="88">
        <f>+Zal_1_WPF_wg_przeplywow!AA40</f>
        <v>0</v>
      </c>
      <c r="AB37" s="88">
        <f>+Zal_1_WPF_wg_przeplywow!AB40</f>
        <v>0</v>
      </c>
      <c r="AC37" s="88">
        <f>+Zal_1_WPF_wg_przeplywow!AC40</f>
        <v>0</v>
      </c>
      <c r="AD37" s="88">
        <f>+Zal_1_WPF_wg_przeplywow!AD40</f>
        <v>0</v>
      </c>
      <c r="AE37" s="88">
        <f>+Zal_1_WPF_wg_przeplywow!AE40</f>
        <v>0</v>
      </c>
      <c r="AF37" s="88">
        <f>+Zal_1_WPF_wg_przeplywow!AF40</f>
        <v>0</v>
      </c>
      <c r="AG37" s="88">
        <f>+Zal_1_WPF_wg_przeplywow!AG40</f>
        <v>0</v>
      </c>
      <c r="AH37" s="88">
        <f>+Zal_1_WPF_wg_przeplywow!AH40</f>
        <v>0</v>
      </c>
      <c r="AI37" s="88">
        <f>+Zal_1_WPF_wg_przeplywow!AI40</f>
        <v>0</v>
      </c>
      <c r="AJ37" s="88">
        <f>+Zal_1_WPF_wg_przeplywow!AJ40</f>
        <v>0</v>
      </c>
      <c r="AK37" s="88">
        <f>+Zal_1_WPF_wg_przeplywow!AK40</f>
        <v>0</v>
      </c>
      <c r="AL37" s="88">
        <f>+Zal_1_WPF_wg_przeplywow!AL40</f>
        <v>0</v>
      </c>
      <c r="AM37" s="88">
        <f>+Zal_1_WPF_wg_przeplywow!AM40</f>
        <v>0</v>
      </c>
      <c r="AN37" s="88">
        <f>+Zal_1_WPF_wg_przeplywow!AN40</f>
        <v>0</v>
      </c>
      <c r="AO37" s="88">
        <f>+Zal_1_WPF_wg_przeplywow!AO40</f>
        <v>0</v>
      </c>
    </row>
    <row r="38" spans="1:41" ht="12">
      <c r="A38" s="62" t="s">
        <v>14</v>
      </c>
      <c r="B38" s="63" t="s">
        <v>70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  <c r="L38" s="57">
        <f>+Zal_1_WPF_wg_przeplywow!L41</f>
        <v>0</v>
      </c>
      <c r="M38" s="57">
        <f>+Zal_1_WPF_wg_przeplywow!M41</f>
        <v>0</v>
      </c>
      <c r="N38" s="57">
        <f>+Zal_1_WPF_wg_przeplywow!N41</f>
        <v>0</v>
      </c>
      <c r="O38" s="57">
        <f>+Zal_1_WPF_wg_przeplywow!O41</f>
        <v>0</v>
      </c>
      <c r="P38" s="57">
        <f>+Zal_1_WPF_wg_przeplywow!P41</f>
        <v>0</v>
      </c>
      <c r="Q38" s="57">
        <f>+Zal_1_WPF_wg_przeplywow!Q41</f>
        <v>0</v>
      </c>
      <c r="R38" s="57">
        <f>+Zal_1_WPF_wg_przeplywow!R41</f>
        <v>0</v>
      </c>
      <c r="S38" s="57">
        <f>+Zal_1_WPF_wg_przeplywow!S41</f>
        <v>0</v>
      </c>
      <c r="T38" s="57">
        <f>+Zal_1_WPF_wg_przeplywow!T41</f>
        <v>0</v>
      </c>
      <c r="U38" s="57">
        <f>+Zal_1_WPF_wg_przeplywow!U41</f>
        <v>0</v>
      </c>
      <c r="V38" s="57">
        <f>+Zal_1_WPF_wg_przeplywow!V41</f>
        <v>0</v>
      </c>
      <c r="W38" s="57">
        <f>+Zal_1_WPF_wg_przeplywow!W41</f>
        <v>0</v>
      </c>
      <c r="X38" s="57">
        <f>+Zal_1_WPF_wg_przeplywow!X41</f>
        <v>0</v>
      </c>
      <c r="Y38" s="57">
        <f>+Zal_1_WPF_wg_przeplywow!Y41</f>
        <v>0</v>
      </c>
      <c r="Z38" s="57">
        <f>+Zal_1_WPF_wg_przeplywow!Z41</f>
        <v>0</v>
      </c>
      <c r="AA38" s="57">
        <f>+Zal_1_WPF_wg_przeplywow!AA41</f>
        <v>0</v>
      </c>
      <c r="AB38" s="57">
        <f>+Zal_1_WPF_wg_przeplywow!AB41</f>
        <v>0</v>
      </c>
      <c r="AC38" s="57">
        <f>+Zal_1_WPF_wg_przeplywow!AC41</f>
        <v>0</v>
      </c>
      <c r="AD38" s="57">
        <f>+Zal_1_WPF_wg_przeplywow!AD41</f>
        <v>0</v>
      </c>
      <c r="AE38" s="57">
        <f>+Zal_1_WPF_wg_przeplywow!AE41</f>
        <v>0</v>
      </c>
      <c r="AF38" s="57">
        <f>+Zal_1_WPF_wg_przeplywow!AF41</f>
        <v>0</v>
      </c>
      <c r="AG38" s="57">
        <f>+Zal_1_WPF_wg_przeplywow!AG41</f>
        <v>0</v>
      </c>
      <c r="AH38" s="57">
        <f>+Zal_1_WPF_wg_przeplywow!AH41</f>
        <v>0</v>
      </c>
      <c r="AI38" s="57">
        <f>+Zal_1_WPF_wg_przeplywow!AI41</f>
        <v>0</v>
      </c>
      <c r="AJ38" s="57">
        <f>+Zal_1_WPF_wg_przeplywow!AJ41</f>
        <v>0</v>
      </c>
      <c r="AK38" s="57">
        <f>+Zal_1_WPF_wg_przeplywow!AK41</f>
        <v>0</v>
      </c>
      <c r="AL38" s="57">
        <f>+Zal_1_WPF_wg_przeplywow!AL41</f>
        <v>0</v>
      </c>
      <c r="AM38" s="57">
        <f>+Zal_1_WPF_wg_przeplywow!AM41</f>
        <v>0</v>
      </c>
      <c r="AN38" s="57">
        <f>+Zal_1_WPF_wg_przeplywow!AN41</f>
        <v>0</v>
      </c>
      <c r="AO38" s="57">
        <f>+Zal_1_WPF_wg_przeplywow!AO41</f>
        <v>0</v>
      </c>
    </row>
    <row r="39" spans="1:41" ht="24">
      <c r="A39" s="66" t="s">
        <v>16</v>
      </c>
      <c r="B39" s="89" t="s">
        <v>71</v>
      </c>
      <c r="C39" s="90">
        <f>+Zal_1_WPF_wg_przeplywow!C46</f>
        <v>0.3973</v>
      </c>
      <c r="D39" s="90">
        <f>+Zal_1_WPF_wg_przeplywow!D46</f>
        <v>0.3861</v>
      </c>
      <c r="E39" s="90">
        <f aca="true" t="shared" si="15" ref="E39:AD39">+IF(E6&lt;&gt;0,E36/E6,"")</f>
        <v>0.3681084599807834</v>
      </c>
      <c r="F39" s="90">
        <f t="shared" si="15"/>
        <v>0.3472985649759556</v>
      </c>
      <c r="G39" s="90">
        <f t="shared" si="15"/>
        <v>0.3230536470541735</v>
      </c>
      <c r="H39" s="90">
        <f t="shared" si="15"/>
        <v>0.27765384510345836</v>
      </c>
      <c r="I39" s="90">
        <f t="shared" si="15"/>
        <v>0.21282730797303034</v>
      </c>
      <c r="J39" s="90">
        <f t="shared" si="15"/>
        <v>0.1360271322093685</v>
      </c>
      <c r="K39" s="90">
        <f t="shared" si="15"/>
        <v>0.12088651852067087</v>
      </c>
      <c r="L39" s="90">
        <f t="shared" si="15"/>
        <v>0.04574962339594306</v>
      </c>
      <c r="M39" s="90">
        <f t="shared" si="15"/>
        <v>0</v>
      </c>
      <c r="N39" s="90">
        <f t="shared" si="15"/>
      </c>
      <c r="O39" s="90">
        <f t="shared" si="15"/>
      </c>
      <c r="P39" s="90">
        <f t="shared" si="15"/>
      </c>
      <c r="Q39" s="90">
        <f t="shared" si="15"/>
      </c>
      <c r="R39" s="90">
        <f t="shared" si="15"/>
      </c>
      <c r="S39" s="90">
        <f t="shared" si="15"/>
      </c>
      <c r="T39" s="90">
        <f t="shared" si="15"/>
      </c>
      <c r="U39" s="90">
        <f t="shared" si="15"/>
      </c>
      <c r="V39" s="90">
        <f t="shared" si="15"/>
      </c>
      <c r="W39" s="90">
        <f t="shared" si="15"/>
      </c>
      <c r="X39" s="90">
        <f t="shared" si="15"/>
      </c>
      <c r="Y39" s="90">
        <f t="shared" si="15"/>
      </c>
      <c r="Z39" s="90">
        <f t="shared" si="15"/>
      </c>
      <c r="AA39" s="90">
        <f t="shared" si="15"/>
      </c>
      <c r="AB39" s="90">
        <f t="shared" si="15"/>
      </c>
      <c r="AC39" s="90">
        <f t="shared" si="15"/>
      </c>
      <c r="AD39" s="90">
        <f t="shared" si="15"/>
      </c>
      <c r="AE39" s="90">
        <f aca="true" t="shared" si="16" ref="AE39:AO39">+IF(AE6&lt;&gt;0,AE36/AE6,"")</f>
      </c>
      <c r="AF39" s="90">
        <f t="shared" si="16"/>
      </c>
      <c r="AG39" s="90">
        <f t="shared" si="16"/>
      </c>
      <c r="AH39" s="90">
        <f t="shared" si="16"/>
      </c>
      <c r="AI39" s="90">
        <f t="shared" si="16"/>
      </c>
      <c r="AJ39" s="90">
        <f t="shared" si="16"/>
      </c>
      <c r="AK39" s="90">
        <f t="shared" si="16"/>
      </c>
      <c r="AL39" s="90">
        <f t="shared" si="16"/>
      </c>
      <c r="AM39" s="90">
        <f t="shared" si="16"/>
      </c>
      <c r="AN39" s="90">
        <f t="shared" si="16"/>
      </c>
      <c r="AO39" s="90">
        <f t="shared" si="16"/>
      </c>
    </row>
    <row r="40" spans="1:41" ht="24">
      <c r="A40" s="74" t="s">
        <v>72</v>
      </c>
      <c r="B40" s="79" t="s">
        <v>73</v>
      </c>
      <c r="C40" s="80">
        <f>+Zal_1_WPF_wg_przeplywow!C47</f>
        <v>0.3973</v>
      </c>
      <c r="D40" s="80">
        <f>+Zal_1_WPF_wg_przeplywow!D47</f>
        <v>0.3861</v>
      </c>
      <c r="E40" s="80">
        <f aca="true" t="shared" si="17" ref="E40:AD40">+IF(E6&lt;&gt;0,(E36-E38)/E6,"")</f>
        <v>0.3681084599807834</v>
      </c>
      <c r="F40" s="80">
        <f t="shared" si="17"/>
        <v>0.3472985649759556</v>
      </c>
      <c r="G40" s="80">
        <f t="shared" si="17"/>
        <v>0.3230536470541735</v>
      </c>
      <c r="H40" s="80">
        <f t="shared" si="17"/>
        <v>0.27765384510345836</v>
      </c>
      <c r="I40" s="80">
        <f t="shared" si="17"/>
        <v>0.21282730797303034</v>
      </c>
      <c r="J40" s="80">
        <f t="shared" si="17"/>
        <v>0.1360271322093685</v>
      </c>
      <c r="K40" s="80">
        <f t="shared" si="17"/>
        <v>0.12088651852067087</v>
      </c>
      <c r="L40" s="80">
        <f t="shared" si="17"/>
        <v>0.04574962339594306</v>
      </c>
      <c r="M40" s="80">
        <f t="shared" si="17"/>
        <v>0</v>
      </c>
      <c r="N40" s="80">
        <f t="shared" si="17"/>
      </c>
      <c r="O40" s="80">
        <f t="shared" si="17"/>
      </c>
      <c r="P40" s="80">
        <f t="shared" si="17"/>
      </c>
      <c r="Q40" s="80">
        <f t="shared" si="17"/>
      </c>
      <c r="R40" s="80">
        <f t="shared" si="17"/>
      </c>
      <c r="S40" s="80">
        <f t="shared" si="17"/>
      </c>
      <c r="T40" s="80">
        <f t="shared" si="17"/>
      </c>
      <c r="U40" s="80">
        <f t="shared" si="17"/>
      </c>
      <c r="V40" s="80">
        <f t="shared" si="17"/>
      </c>
      <c r="W40" s="80">
        <f t="shared" si="17"/>
      </c>
      <c r="X40" s="80">
        <f t="shared" si="17"/>
      </c>
      <c r="Y40" s="80">
        <f t="shared" si="17"/>
      </c>
      <c r="Z40" s="80">
        <f t="shared" si="17"/>
      </c>
      <c r="AA40" s="80">
        <f t="shared" si="17"/>
      </c>
      <c r="AB40" s="80">
        <f t="shared" si="17"/>
      </c>
      <c r="AC40" s="80">
        <f t="shared" si="17"/>
      </c>
      <c r="AD40" s="80">
        <f t="shared" si="17"/>
      </c>
      <c r="AE40" s="80">
        <f aca="true" t="shared" si="18" ref="AE40:AO40">+IF(AE6&lt;&gt;0,(AE36-AE38)/AE6,"")</f>
      </c>
      <c r="AF40" s="80">
        <f t="shared" si="18"/>
      </c>
      <c r="AG40" s="80">
        <f t="shared" si="18"/>
      </c>
      <c r="AH40" s="80">
        <f t="shared" si="18"/>
      </c>
      <c r="AI40" s="80">
        <f t="shared" si="18"/>
      </c>
      <c r="AJ40" s="80">
        <f t="shared" si="18"/>
      </c>
      <c r="AK40" s="80">
        <f t="shared" si="18"/>
      </c>
      <c r="AL40" s="80">
        <f t="shared" si="18"/>
      </c>
      <c r="AM40" s="80">
        <f t="shared" si="18"/>
      </c>
      <c r="AN40" s="80">
        <f t="shared" si="18"/>
      </c>
      <c r="AO40" s="80">
        <f t="shared" si="18"/>
      </c>
    </row>
    <row r="41" spans="1:41" ht="24">
      <c r="A41" s="74" t="s">
        <v>17</v>
      </c>
      <c r="B41" s="79" t="s">
        <v>74</v>
      </c>
      <c r="C41" s="80">
        <f>+Zal_1_WPF_wg_przeplywow!C48</f>
        <v>0.1176</v>
      </c>
      <c r="D41" s="80">
        <f>+Zal_1_WPF_wg_przeplywow!D48</f>
        <v>0.14</v>
      </c>
      <c r="E41" s="80">
        <f aca="true" t="shared" si="19" ref="E41:AD41">+IF(E6&lt;&gt;0,(E19+E16+E33)/E6,"")</f>
        <v>0.04343537249040026</v>
      </c>
      <c r="F41" s="80">
        <f t="shared" si="19"/>
        <v>0.059261379744178076</v>
      </c>
      <c r="G41" s="80">
        <f t="shared" si="19"/>
        <v>0.059228326926554616</v>
      </c>
      <c r="H41" s="80">
        <f t="shared" si="19"/>
        <v>0.061955391572472394</v>
      </c>
      <c r="I41" s="80">
        <f t="shared" si="19"/>
        <v>0.06493847094636575</v>
      </c>
      <c r="J41" s="80">
        <f t="shared" si="19"/>
        <v>0.07343996511458778</v>
      </c>
      <c r="K41" s="80">
        <f t="shared" si="19"/>
        <v>0.020328359761572518</v>
      </c>
      <c r="L41" s="80">
        <f t="shared" si="19"/>
        <v>0.07284174952604223</v>
      </c>
      <c r="M41" s="80">
        <f t="shared" si="19"/>
        <v>0.04756421924248152</v>
      </c>
      <c r="N41" s="80">
        <f t="shared" si="19"/>
      </c>
      <c r="O41" s="80">
        <f t="shared" si="19"/>
      </c>
      <c r="P41" s="80">
        <f t="shared" si="19"/>
      </c>
      <c r="Q41" s="80">
        <f t="shared" si="19"/>
      </c>
      <c r="R41" s="80">
        <f t="shared" si="19"/>
      </c>
      <c r="S41" s="80">
        <f t="shared" si="19"/>
      </c>
      <c r="T41" s="80">
        <f t="shared" si="19"/>
      </c>
      <c r="U41" s="80">
        <f t="shared" si="19"/>
      </c>
      <c r="V41" s="80">
        <f t="shared" si="19"/>
      </c>
      <c r="W41" s="80">
        <f t="shared" si="19"/>
      </c>
      <c r="X41" s="80">
        <f t="shared" si="19"/>
      </c>
      <c r="Y41" s="80">
        <f t="shared" si="19"/>
      </c>
      <c r="Z41" s="80">
        <f t="shared" si="19"/>
      </c>
      <c r="AA41" s="80">
        <f t="shared" si="19"/>
      </c>
      <c r="AB41" s="80">
        <f t="shared" si="19"/>
      </c>
      <c r="AC41" s="80">
        <f t="shared" si="19"/>
      </c>
      <c r="AD41" s="80">
        <f t="shared" si="19"/>
      </c>
      <c r="AE41" s="80">
        <f aca="true" t="shared" si="20" ref="AE41:AO41">+IF(AE6&lt;&gt;0,(AE19+AE16+AE33)/AE6,"")</f>
      </c>
      <c r="AF41" s="80">
        <f t="shared" si="20"/>
      </c>
      <c r="AG41" s="80">
        <f t="shared" si="20"/>
      </c>
      <c r="AH41" s="80">
        <f t="shared" si="20"/>
      </c>
      <c r="AI41" s="80">
        <f t="shared" si="20"/>
      </c>
      <c r="AJ41" s="80">
        <f t="shared" si="20"/>
      </c>
      <c r="AK41" s="80">
        <f t="shared" si="20"/>
      </c>
      <c r="AL41" s="80">
        <f t="shared" si="20"/>
      </c>
      <c r="AM41" s="80">
        <f t="shared" si="20"/>
      </c>
      <c r="AN41" s="80">
        <f t="shared" si="20"/>
      </c>
      <c r="AO41" s="80">
        <f t="shared" si="20"/>
      </c>
    </row>
    <row r="42" spans="1:41" ht="24">
      <c r="A42" s="87" t="s">
        <v>75</v>
      </c>
      <c r="B42" s="91" t="s">
        <v>76</v>
      </c>
      <c r="C42" s="92">
        <f>+Zal_1_WPF_wg_przeplywow!C49</f>
        <v>0.1176</v>
      </c>
      <c r="D42" s="92">
        <f>+Zal_1_WPF_wg_przeplywow!D49</f>
        <v>0.14</v>
      </c>
      <c r="E42" s="92">
        <f aca="true" t="shared" si="21" ref="E42:AD42">+IF(E6&lt;&gt;0,(E19+E16+E33-E17-E34)/E6,"")</f>
        <v>0.04343537249040026</v>
      </c>
      <c r="F42" s="92">
        <f t="shared" si="21"/>
        <v>0.059261379744178076</v>
      </c>
      <c r="G42" s="92">
        <f t="shared" si="21"/>
        <v>0.059228326926554616</v>
      </c>
      <c r="H42" s="92">
        <f t="shared" si="21"/>
        <v>0.061955391572472394</v>
      </c>
      <c r="I42" s="92">
        <f t="shared" si="21"/>
        <v>0.06493847094636575</v>
      </c>
      <c r="J42" s="92">
        <f t="shared" si="21"/>
        <v>0.07343996511458778</v>
      </c>
      <c r="K42" s="92">
        <f t="shared" si="21"/>
        <v>0.020328359761572518</v>
      </c>
      <c r="L42" s="92">
        <f t="shared" si="21"/>
        <v>0.07284174952604223</v>
      </c>
      <c r="M42" s="92">
        <f t="shared" si="21"/>
        <v>0.04756421924248152</v>
      </c>
      <c r="N42" s="92">
        <f t="shared" si="21"/>
      </c>
      <c r="O42" s="92">
        <f t="shared" si="21"/>
      </c>
      <c r="P42" s="92">
        <f t="shared" si="21"/>
      </c>
      <c r="Q42" s="92">
        <f t="shared" si="21"/>
      </c>
      <c r="R42" s="92">
        <f t="shared" si="21"/>
      </c>
      <c r="S42" s="92">
        <f t="shared" si="21"/>
      </c>
      <c r="T42" s="92">
        <f t="shared" si="21"/>
      </c>
      <c r="U42" s="92">
        <f t="shared" si="21"/>
      </c>
      <c r="V42" s="92">
        <f t="shared" si="21"/>
      </c>
      <c r="W42" s="92">
        <f t="shared" si="21"/>
      </c>
      <c r="X42" s="92">
        <f t="shared" si="21"/>
      </c>
      <c r="Y42" s="92">
        <f t="shared" si="21"/>
      </c>
      <c r="Z42" s="92">
        <f t="shared" si="21"/>
      </c>
      <c r="AA42" s="92">
        <f t="shared" si="21"/>
      </c>
      <c r="AB42" s="92">
        <f t="shared" si="21"/>
      </c>
      <c r="AC42" s="92">
        <f t="shared" si="21"/>
      </c>
      <c r="AD42" s="92">
        <f t="shared" si="21"/>
      </c>
      <c r="AE42" s="92">
        <f aca="true" t="shared" si="22" ref="AE42:AO42">+IF(AE6&lt;&gt;0,(AE19+AE16+AE33-AE17-AE34)/AE6,"")</f>
      </c>
      <c r="AF42" s="92">
        <f t="shared" si="22"/>
      </c>
      <c r="AG42" s="92">
        <f t="shared" si="22"/>
      </c>
      <c r="AH42" s="92">
        <f t="shared" si="22"/>
      </c>
      <c r="AI42" s="92">
        <f t="shared" si="22"/>
      </c>
      <c r="AJ42" s="92">
        <f t="shared" si="22"/>
      </c>
      <c r="AK42" s="92">
        <f t="shared" si="22"/>
      </c>
      <c r="AL42" s="92">
        <f t="shared" si="22"/>
      </c>
      <c r="AM42" s="92">
        <f t="shared" si="22"/>
      </c>
      <c r="AN42" s="92">
        <f t="shared" si="22"/>
      </c>
      <c r="AO42" s="92">
        <f t="shared" si="22"/>
      </c>
    </row>
    <row r="43" spans="1:41" ht="36">
      <c r="A43" s="62" t="s">
        <v>19</v>
      </c>
      <c r="B43" s="63" t="s">
        <v>168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  <c r="L43" s="58">
        <f>+Zal_1_WPF_wg_przeplywow!L42</f>
        <v>0</v>
      </c>
      <c r="M43" s="58">
        <f>+Zal_1_WPF_wg_przeplywow!M42</f>
        <v>0</v>
      </c>
      <c r="N43" s="58">
        <f>+Zal_1_WPF_wg_przeplywow!N42</f>
        <v>0</v>
      </c>
      <c r="O43" s="58">
        <f>+Zal_1_WPF_wg_przeplywow!O42</f>
        <v>0</v>
      </c>
      <c r="P43" s="58">
        <f>+Zal_1_WPF_wg_przeplywow!P42</f>
        <v>0</v>
      </c>
      <c r="Q43" s="58">
        <f>+Zal_1_WPF_wg_przeplywow!Q42</f>
        <v>0</v>
      </c>
      <c r="R43" s="58">
        <f>+Zal_1_WPF_wg_przeplywow!R42</f>
        <v>0</v>
      </c>
      <c r="S43" s="58">
        <f>+Zal_1_WPF_wg_przeplywow!S42</f>
        <v>0</v>
      </c>
      <c r="T43" s="58">
        <f>+Zal_1_WPF_wg_przeplywow!T42</f>
        <v>0</v>
      </c>
      <c r="U43" s="58">
        <f>+Zal_1_WPF_wg_przeplywow!U42</f>
        <v>0</v>
      </c>
      <c r="V43" s="58">
        <f>+Zal_1_WPF_wg_przeplywow!V42</f>
        <v>0</v>
      </c>
      <c r="W43" s="58">
        <f>+Zal_1_WPF_wg_przeplywow!W42</f>
        <v>0</v>
      </c>
      <c r="X43" s="58">
        <f>+Zal_1_WPF_wg_przeplywow!X42</f>
        <v>0</v>
      </c>
      <c r="Y43" s="58">
        <f>+Zal_1_WPF_wg_przeplywow!Y42</f>
        <v>0</v>
      </c>
      <c r="Z43" s="58">
        <f>+Zal_1_WPF_wg_przeplywow!Z42</f>
        <v>0</v>
      </c>
      <c r="AA43" s="58">
        <f>+Zal_1_WPF_wg_przeplywow!AA42</f>
        <v>0</v>
      </c>
      <c r="AB43" s="58">
        <f>+Zal_1_WPF_wg_przeplywow!AB42</f>
        <v>0</v>
      </c>
      <c r="AC43" s="58">
        <f>+Zal_1_WPF_wg_przeplywow!AC42</f>
        <v>0</v>
      </c>
      <c r="AD43" s="58">
        <f>+Zal_1_WPF_wg_przeplywow!AD42</f>
        <v>0</v>
      </c>
      <c r="AE43" s="58">
        <f>+Zal_1_WPF_wg_przeplywow!AE42</f>
        <v>0</v>
      </c>
      <c r="AF43" s="58">
        <f>+Zal_1_WPF_wg_przeplywow!AF42</f>
        <v>0</v>
      </c>
      <c r="AG43" s="58">
        <f>+Zal_1_WPF_wg_przeplywow!AG42</f>
        <v>0</v>
      </c>
      <c r="AH43" s="58">
        <f>+Zal_1_WPF_wg_przeplywow!AH42</f>
        <v>0</v>
      </c>
      <c r="AI43" s="58">
        <f>+Zal_1_WPF_wg_przeplywow!AI42</f>
        <v>0</v>
      </c>
      <c r="AJ43" s="58">
        <f>+Zal_1_WPF_wg_przeplywow!AJ42</f>
        <v>0</v>
      </c>
      <c r="AK43" s="58">
        <f>+Zal_1_WPF_wg_przeplywow!AK42</f>
        <v>0</v>
      </c>
      <c r="AL43" s="58">
        <f>+Zal_1_WPF_wg_przeplywow!AL42</f>
        <v>0</v>
      </c>
      <c r="AM43" s="58">
        <f>+Zal_1_WPF_wg_przeplywow!AM42</f>
        <v>0</v>
      </c>
      <c r="AN43" s="58">
        <f>+Zal_1_WPF_wg_przeplywow!AN42</f>
        <v>0</v>
      </c>
      <c r="AO43" s="58">
        <f>+Zal_1_WPF_wg_przeplywow!AO42</f>
        <v>0</v>
      </c>
    </row>
    <row r="44" spans="1:41" ht="12">
      <c r="A44" s="66" t="s">
        <v>20</v>
      </c>
      <c r="B44" s="89" t="s">
        <v>53</v>
      </c>
      <c r="C44" s="90">
        <f>+Zal_1_WPF_wg_przeplywow!C51</f>
        <v>0.0931</v>
      </c>
      <c r="D44" s="90">
        <f>+Zal_1_WPF_wg_przeplywow!D51</f>
        <v>0.056</v>
      </c>
      <c r="E44" s="90">
        <f>+Zal_1_WPF_wg_przeplywow!E51</f>
        <v>0.044</v>
      </c>
      <c r="F44" s="90">
        <f>+Zal_1_WPF_wg_przeplywow!F51</f>
        <v>0.0607</v>
      </c>
      <c r="G44" s="90">
        <f>+Zal_1_WPF_wg_przeplywow!G51</f>
        <v>0.0636</v>
      </c>
      <c r="H44" s="90">
        <f>+Zal_1_WPF_wg_przeplywow!H51</f>
        <v>0.0621</v>
      </c>
      <c r="I44" s="90">
        <f>+Zal_1_WPF_wg_przeplywow!I51</f>
        <v>0.0684</v>
      </c>
      <c r="J44" s="90">
        <f>+Zal_1_WPF_wg_przeplywow!J51</f>
        <v>0.0744</v>
      </c>
      <c r="K44" s="90">
        <f>+Zal_1_WPF_wg_przeplywow!K51</f>
        <v>0.084</v>
      </c>
      <c r="L44" s="90">
        <f>+Zal_1_WPF_wg_przeplywow!L51</f>
        <v>0.0775</v>
      </c>
      <c r="M44" s="90">
        <f>+Zal_1_WPF_wg_przeplywow!M51</f>
        <v>0.0825</v>
      </c>
      <c r="N44" s="90">
        <f>+Zal_1_WPF_wg_przeplywow!N51</f>
        <v>0</v>
      </c>
      <c r="O44" s="90">
        <f>+Zal_1_WPF_wg_przeplywow!O51</f>
        <v>0</v>
      </c>
      <c r="P44" s="90">
        <f>+Zal_1_WPF_wg_przeplywow!P51</f>
        <v>0</v>
      </c>
      <c r="Q44" s="90">
        <f>+Zal_1_WPF_wg_przeplywow!Q51</f>
        <v>0</v>
      </c>
      <c r="R44" s="90">
        <f>+Zal_1_WPF_wg_przeplywow!R51</f>
        <v>0</v>
      </c>
      <c r="S44" s="90">
        <f>+Zal_1_WPF_wg_przeplywow!S51</f>
        <v>0</v>
      </c>
      <c r="T44" s="90">
        <f>+Zal_1_WPF_wg_przeplywow!T51</f>
        <v>0</v>
      </c>
      <c r="U44" s="90">
        <f>+Zal_1_WPF_wg_przeplywow!U51</f>
        <v>0</v>
      </c>
      <c r="V44" s="90">
        <f>+Zal_1_WPF_wg_przeplywow!V51</f>
        <v>0</v>
      </c>
      <c r="W44" s="90">
        <f>+Zal_1_WPF_wg_przeplywow!W51</f>
        <v>0</v>
      </c>
      <c r="X44" s="90">
        <f>+Zal_1_WPF_wg_przeplywow!X51</f>
        <v>0</v>
      </c>
      <c r="Y44" s="90">
        <f>+Zal_1_WPF_wg_przeplywow!Y51</f>
        <v>0</v>
      </c>
      <c r="Z44" s="90">
        <f>+Zal_1_WPF_wg_przeplywow!Z51</f>
        <v>0</v>
      </c>
      <c r="AA44" s="90">
        <f>+Zal_1_WPF_wg_przeplywow!AA51</f>
        <v>0</v>
      </c>
      <c r="AB44" s="90">
        <f>+Zal_1_WPF_wg_przeplywow!AB51</f>
        <v>0</v>
      </c>
      <c r="AC44" s="90">
        <f>+Zal_1_WPF_wg_przeplywow!AC51</f>
        <v>0</v>
      </c>
      <c r="AD44" s="90">
        <f>+Zal_1_WPF_wg_przeplywow!AD51</f>
        <v>0</v>
      </c>
      <c r="AE44" s="90">
        <f>+Zal_1_WPF_wg_przeplywow!AE51</f>
        <v>0</v>
      </c>
      <c r="AF44" s="90">
        <f>+Zal_1_WPF_wg_przeplywow!AF51</f>
        <v>0</v>
      </c>
      <c r="AG44" s="90">
        <f>+Zal_1_WPF_wg_przeplywow!AG51</f>
        <v>0</v>
      </c>
      <c r="AH44" s="90">
        <f>+Zal_1_WPF_wg_przeplywow!AH51</f>
        <v>0</v>
      </c>
      <c r="AI44" s="90">
        <f>+Zal_1_WPF_wg_przeplywow!AI51</f>
        <v>0</v>
      </c>
      <c r="AJ44" s="90">
        <f>+Zal_1_WPF_wg_przeplywow!AJ51</f>
        <v>0</v>
      </c>
      <c r="AK44" s="90">
        <f>+Zal_1_WPF_wg_przeplywow!AK51</f>
        <v>0</v>
      </c>
      <c r="AL44" s="90">
        <f>+Zal_1_WPF_wg_przeplywow!AL51</f>
        <v>0</v>
      </c>
      <c r="AM44" s="90">
        <f>+Zal_1_WPF_wg_przeplywow!AM51</f>
        <v>0</v>
      </c>
      <c r="AN44" s="90">
        <f>+Zal_1_WPF_wg_przeplywow!AN51</f>
        <v>0</v>
      </c>
      <c r="AO44" s="90">
        <f>+Zal_1_WPF_wg_przeplywow!AO51</f>
        <v>0</v>
      </c>
    </row>
    <row r="45" spans="1:41" ht="12">
      <c r="A45" s="74"/>
      <c r="B45" s="81" t="s">
        <v>55</v>
      </c>
      <c r="C45" s="80">
        <f>+Zal_1_WPF_wg_przeplywow!C50</f>
        <v>0.0517</v>
      </c>
      <c r="D45" s="80">
        <f>+Zal_1_WPF_wg_przeplywow!D50</f>
        <v>0.0698</v>
      </c>
      <c r="E45" s="80">
        <f>+Zal_1_WPF_wg_przeplywow!E50</f>
        <v>0.0606</v>
      </c>
      <c r="F45" s="80">
        <f>+Zal_1_WPF_wg_przeplywow!F50</f>
        <v>0.0604</v>
      </c>
      <c r="G45" s="80">
        <f>+Zal_1_WPF_wg_przeplywow!G50</f>
        <v>0.0653</v>
      </c>
      <c r="H45" s="80">
        <f>+Zal_1_WPF_wg_przeplywow!H50</f>
        <v>0.0796</v>
      </c>
      <c r="I45" s="80">
        <f>+Zal_1_WPF_wg_przeplywow!I50</f>
        <v>0.0784</v>
      </c>
      <c r="J45" s="80">
        <f>+Zal_1_WPF_wg_przeplywow!J50</f>
        <v>0.0941</v>
      </c>
      <c r="K45" s="80">
        <f>+Zal_1_WPF_wg_przeplywow!K50</f>
        <v>0.0599</v>
      </c>
      <c r="L45" s="80">
        <f>+Zal_1_WPF_wg_przeplywow!L50</f>
        <v>0.0935</v>
      </c>
      <c r="M45" s="80">
        <f>+Zal_1_WPF_wg_przeplywow!M50</f>
        <v>0.0997</v>
      </c>
      <c r="N45" s="80">
        <f>+Zal_1_WPF_wg_przeplywow!N50</f>
        <v>0</v>
      </c>
      <c r="O45" s="80">
        <f>+Zal_1_WPF_wg_przeplywow!O50</f>
        <v>0</v>
      </c>
      <c r="P45" s="80">
        <f>+Zal_1_WPF_wg_przeplywow!P50</f>
        <v>0</v>
      </c>
      <c r="Q45" s="80">
        <f>+Zal_1_WPF_wg_przeplywow!Q50</f>
        <v>0</v>
      </c>
      <c r="R45" s="80">
        <f>+Zal_1_WPF_wg_przeplywow!R50</f>
        <v>0</v>
      </c>
      <c r="S45" s="80">
        <f>+Zal_1_WPF_wg_przeplywow!S50</f>
        <v>0</v>
      </c>
      <c r="T45" s="80">
        <f>+Zal_1_WPF_wg_przeplywow!T50</f>
        <v>0</v>
      </c>
      <c r="U45" s="80">
        <f>+Zal_1_WPF_wg_przeplywow!U50</f>
        <v>0</v>
      </c>
      <c r="V45" s="80">
        <f>+Zal_1_WPF_wg_przeplywow!V50</f>
        <v>0</v>
      </c>
      <c r="W45" s="80">
        <f>+Zal_1_WPF_wg_przeplywow!W50</f>
        <v>0</v>
      </c>
      <c r="X45" s="80">
        <f>+Zal_1_WPF_wg_przeplywow!X50</f>
        <v>0</v>
      </c>
      <c r="Y45" s="80">
        <f>+Zal_1_WPF_wg_przeplywow!Y50</f>
        <v>0</v>
      </c>
      <c r="Z45" s="80">
        <f>+Zal_1_WPF_wg_przeplywow!Z50</f>
        <v>0</v>
      </c>
      <c r="AA45" s="80">
        <f>+Zal_1_WPF_wg_przeplywow!AA50</f>
        <v>0</v>
      </c>
      <c r="AB45" s="80">
        <f>+Zal_1_WPF_wg_przeplywow!AB50</f>
        <v>0</v>
      </c>
      <c r="AC45" s="80">
        <f>+Zal_1_WPF_wg_przeplywow!AC50</f>
        <v>0</v>
      </c>
      <c r="AD45" s="80">
        <f>+Zal_1_WPF_wg_przeplywow!AD50</f>
        <v>0</v>
      </c>
      <c r="AE45" s="80">
        <f>+Zal_1_WPF_wg_przeplywow!AE50</f>
        <v>0</v>
      </c>
      <c r="AF45" s="80">
        <f>+Zal_1_WPF_wg_przeplywow!AF50</f>
        <v>0</v>
      </c>
      <c r="AG45" s="80">
        <f>+Zal_1_WPF_wg_przeplywow!AG50</f>
        <v>0</v>
      </c>
      <c r="AH45" s="80">
        <f>+Zal_1_WPF_wg_przeplywow!AH50</f>
        <v>0</v>
      </c>
      <c r="AI45" s="80">
        <f>+Zal_1_WPF_wg_przeplywow!AI50</f>
        <v>0</v>
      </c>
      <c r="AJ45" s="80">
        <f>+Zal_1_WPF_wg_przeplywow!AJ50</f>
        <v>0</v>
      </c>
      <c r="AK45" s="80">
        <f>+Zal_1_WPF_wg_przeplywow!AK50</f>
        <v>0</v>
      </c>
      <c r="AL45" s="80">
        <f>+Zal_1_WPF_wg_przeplywow!AL50</f>
        <v>0</v>
      </c>
      <c r="AM45" s="80">
        <f>+Zal_1_WPF_wg_przeplywow!AM50</f>
        <v>0</v>
      </c>
      <c r="AN45" s="80">
        <f>+Zal_1_WPF_wg_przeplywow!AN50</f>
        <v>0</v>
      </c>
      <c r="AO45" s="80">
        <f>+Zal_1_WPF_wg_przeplywow!AO50</f>
        <v>0</v>
      </c>
    </row>
    <row r="46" spans="1:41" ht="24">
      <c r="A46" s="74" t="s">
        <v>21</v>
      </c>
      <c r="B46" s="79" t="s">
        <v>54</v>
      </c>
      <c r="C46" s="80">
        <f>+Zal_1_WPF_wg_przeplywow!C52</f>
        <v>0.1176</v>
      </c>
      <c r="D46" s="80">
        <f>+Zal_1_WPF_wg_przeplywow!D52</f>
        <v>0.14</v>
      </c>
      <c r="E46" s="80">
        <f>+Zal_1_WPF_wg_przeplywow!E52</f>
        <v>0.0434</v>
      </c>
      <c r="F46" s="80">
        <f>+Zal_1_WPF_wg_przeplywow!F52</f>
        <v>0.0593</v>
      </c>
      <c r="G46" s="80">
        <f>+Zal_1_WPF_wg_przeplywow!G52</f>
        <v>0.0592</v>
      </c>
      <c r="H46" s="80">
        <f>+Zal_1_WPF_wg_przeplywow!H52</f>
        <v>0.062</v>
      </c>
      <c r="I46" s="80">
        <f>+Zal_1_WPF_wg_przeplywow!I52</f>
        <v>0.0649</v>
      </c>
      <c r="J46" s="80">
        <f>+Zal_1_WPF_wg_przeplywow!J52</f>
        <v>0.0734</v>
      </c>
      <c r="K46" s="80">
        <f>+Zal_1_WPF_wg_przeplywow!K52</f>
        <v>0.0203</v>
      </c>
      <c r="L46" s="80">
        <f>+Zal_1_WPF_wg_przeplywow!L52</f>
        <v>0.0728</v>
      </c>
      <c r="M46" s="80">
        <f>+Zal_1_WPF_wg_przeplywow!M52</f>
        <v>0.0476</v>
      </c>
      <c r="N46" s="80">
        <f>+Zal_1_WPF_wg_przeplywow!N52</f>
        <v>0</v>
      </c>
      <c r="O46" s="80">
        <f>+Zal_1_WPF_wg_przeplywow!O52</f>
        <v>0</v>
      </c>
      <c r="P46" s="80">
        <f>+Zal_1_WPF_wg_przeplywow!P52</f>
        <v>0</v>
      </c>
      <c r="Q46" s="80">
        <f>+Zal_1_WPF_wg_przeplywow!Q52</f>
        <v>0</v>
      </c>
      <c r="R46" s="80">
        <f>+Zal_1_WPF_wg_przeplywow!R52</f>
        <v>0</v>
      </c>
      <c r="S46" s="80">
        <f>+Zal_1_WPF_wg_przeplywow!S52</f>
        <v>0</v>
      </c>
      <c r="T46" s="80">
        <f>+Zal_1_WPF_wg_przeplywow!T52</f>
        <v>0</v>
      </c>
      <c r="U46" s="80">
        <f>+Zal_1_WPF_wg_przeplywow!U52</f>
        <v>0</v>
      </c>
      <c r="V46" s="80">
        <f>+Zal_1_WPF_wg_przeplywow!V52</f>
        <v>0</v>
      </c>
      <c r="W46" s="80">
        <f>+Zal_1_WPF_wg_przeplywow!W52</f>
        <v>0</v>
      </c>
      <c r="X46" s="80">
        <f>+Zal_1_WPF_wg_przeplywow!X52</f>
        <v>0</v>
      </c>
      <c r="Y46" s="80">
        <f>+Zal_1_WPF_wg_przeplywow!Y52</f>
        <v>0</v>
      </c>
      <c r="Z46" s="80">
        <f>+Zal_1_WPF_wg_przeplywow!Z52</f>
        <v>0</v>
      </c>
      <c r="AA46" s="80">
        <f>+Zal_1_WPF_wg_przeplywow!AA52</f>
        <v>0</v>
      </c>
      <c r="AB46" s="80">
        <f>+Zal_1_WPF_wg_przeplywow!AB52</f>
        <v>0</v>
      </c>
      <c r="AC46" s="80">
        <f>+Zal_1_WPF_wg_przeplywow!AC52</f>
        <v>0</v>
      </c>
      <c r="AD46" s="80">
        <f>+Zal_1_WPF_wg_przeplywow!AD52</f>
        <v>0</v>
      </c>
      <c r="AE46" s="80">
        <f>+Zal_1_WPF_wg_przeplywow!AE52</f>
        <v>0</v>
      </c>
      <c r="AF46" s="80">
        <f>+Zal_1_WPF_wg_przeplywow!AF52</f>
        <v>0</v>
      </c>
      <c r="AG46" s="80">
        <f>+Zal_1_WPF_wg_przeplywow!AG52</f>
        <v>0</v>
      </c>
      <c r="AH46" s="80">
        <f>+Zal_1_WPF_wg_przeplywow!AH52</f>
        <v>0</v>
      </c>
      <c r="AI46" s="80">
        <f>+Zal_1_WPF_wg_przeplywow!AI52</f>
        <v>0</v>
      </c>
      <c r="AJ46" s="80">
        <f>+Zal_1_WPF_wg_przeplywow!AJ52</f>
        <v>0</v>
      </c>
      <c r="AK46" s="80">
        <f>+Zal_1_WPF_wg_przeplywow!AK52</f>
        <v>0</v>
      </c>
      <c r="AL46" s="80">
        <f>+Zal_1_WPF_wg_przeplywow!AL52</f>
        <v>0</v>
      </c>
      <c r="AM46" s="80">
        <f>+Zal_1_WPF_wg_przeplywow!AM52</f>
        <v>0</v>
      </c>
      <c r="AN46" s="80">
        <f>+Zal_1_WPF_wg_przeplywow!AN52</f>
        <v>0</v>
      </c>
      <c r="AO46" s="80">
        <f>+Zal_1_WPF_wg_przeplywow!AO52</f>
        <v>0</v>
      </c>
    </row>
    <row r="47" spans="1:41" ht="24">
      <c r="A47" s="74" t="s">
        <v>77</v>
      </c>
      <c r="B47" s="79" t="s">
        <v>78</v>
      </c>
      <c r="C47" s="82" t="str">
        <f>IF(C46&lt;=C$44,"Spełnia  art. 243","Nie spełnia art. 243")</f>
        <v>Nie spełnia art. 243</v>
      </c>
      <c r="D47" s="82" t="str">
        <f aca="true" t="shared" si="23" ref="D47:AD47">IF(D46&lt;=D$44,"Spełnia  art. 243","Nie spełnia art. 243")</f>
        <v>Nie spełnia art. 243</v>
      </c>
      <c r="E47" s="82" t="str">
        <f t="shared" si="23"/>
        <v>Spełnia  art. 243</v>
      </c>
      <c r="F47" s="82" t="str">
        <f t="shared" si="23"/>
        <v>Spełnia  art. 243</v>
      </c>
      <c r="G47" s="82" t="str">
        <f t="shared" si="23"/>
        <v>Spełnia  art. 243</v>
      </c>
      <c r="H47" s="82" t="str">
        <f t="shared" si="23"/>
        <v>Spełnia  art. 243</v>
      </c>
      <c r="I47" s="82" t="str">
        <f t="shared" si="23"/>
        <v>Spełnia  art. 243</v>
      </c>
      <c r="J47" s="82" t="str">
        <f t="shared" si="23"/>
        <v>Spełnia  art. 243</v>
      </c>
      <c r="K47" s="82" t="str">
        <f t="shared" si="23"/>
        <v>Spełnia  art. 243</v>
      </c>
      <c r="L47" s="82" t="str">
        <f t="shared" si="23"/>
        <v>Spełnia  art. 243</v>
      </c>
      <c r="M47" s="82" t="str">
        <f t="shared" si="23"/>
        <v>Spełnia  art. 243</v>
      </c>
      <c r="N47" s="82" t="str">
        <f t="shared" si="23"/>
        <v>Spełnia  art. 243</v>
      </c>
      <c r="O47" s="82" t="str">
        <f t="shared" si="23"/>
        <v>Spełnia  art. 243</v>
      </c>
      <c r="P47" s="82" t="str">
        <f t="shared" si="23"/>
        <v>Spełnia  art. 243</v>
      </c>
      <c r="Q47" s="82" t="str">
        <f t="shared" si="23"/>
        <v>Spełnia  art. 243</v>
      </c>
      <c r="R47" s="82" t="str">
        <f t="shared" si="23"/>
        <v>Spełnia  art. 243</v>
      </c>
      <c r="S47" s="82" t="str">
        <f t="shared" si="23"/>
        <v>Spełnia  art. 243</v>
      </c>
      <c r="T47" s="82" t="str">
        <f t="shared" si="23"/>
        <v>Spełnia  art. 243</v>
      </c>
      <c r="U47" s="82" t="str">
        <f t="shared" si="23"/>
        <v>Spełnia  art. 243</v>
      </c>
      <c r="V47" s="82" t="str">
        <f t="shared" si="23"/>
        <v>Spełnia  art. 243</v>
      </c>
      <c r="W47" s="82" t="str">
        <f t="shared" si="23"/>
        <v>Spełnia  art. 243</v>
      </c>
      <c r="X47" s="82" t="str">
        <f t="shared" si="23"/>
        <v>Spełnia  art. 243</v>
      </c>
      <c r="Y47" s="82" t="str">
        <f t="shared" si="23"/>
        <v>Spełnia  art. 243</v>
      </c>
      <c r="Z47" s="82" t="str">
        <f t="shared" si="23"/>
        <v>Spełnia  art. 243</v>
      </c>
      <c r="AA47" s="82" t="str">
        <f t="shared" si="23"/>
        <v>Spełnia  art. 243</v>
      </c>
      <c r="AB47" s="82" t="str">
        <f t="shared" si="23"/>
        <v>Spełnia  art. 243</v>
      </c>
      <c r="AC47" s="82" t="str">
        <f t="shared" si="23"/>
        <v>Spełnia  art. 243</v>
      </c>
      <c r="AD47" s="82" t="str">
        <f t="shared" si="23"/>
        <v>Spełnia  art. 243</v>
      </c>
      <c r="AE47" s="82" t="str">
        <f aca="true" t="shared" si="24" ref="AE47:AO47">IF(AE46&lt;=AE$44,"Spełnia  art. 243","Nie spełnia art. 243")</f>
        <v>Spełnia  art. 243</v>
      </c>
      <c r="AF47" s="82" t="str">
        <f t="shared" si="24"/>
        <v>Spełnia  art. 243</v>
      </c>
      <c r="AG47" s="82" t="str">
        <f t="shared" si="24"/>
        <v>Spełnia  art. 243</v>
      </c>
      <c r="AH47" s="82" t="str">
        <f t="shared" si="24"/>
        <v>Spełnia  art. 243</v>
      </c>
      <c r="AI47" s="82" t="str">
        <f t="shared" si="24"/>
        <v>Spełnia  art. 243</v>
      </c>
      <c r="AJ47" s="82" t="str">
        <f t="shared" si="24"/>
        <v>Spełnia  art. 243</v>
      </c>
      <c r="AK47" s="82" t="str">
        <f t="shared" si="24"/>
        <v>Spełnia  art. 243</v>
      </c>
      <c r="AL47" s="82" t="str">
        <f t="shared" si="24"/>
        <v>Spełnia  art. 243</v>
      </c>
      <c r="AM47" s="82" t="str">
        <f t="shared" si="24"/>
        <v>Spełnia  art. 243</v>
      </c>
      <c r="AN47" s="82" t="str">
        <f t="shared" si="24"/>
        <v>Spełnia  art. 243</v>
      </c>
      <c r="AO47" s="82" t="str">
        <f t="shared" si="24"/>
        <v>Spełnia  art. 243</v>
      </c>
    </row>
    <row r="48" spans="1:41" ht="24">
      <c r="A48" s="74" t="s">
        <v>22</v>
      </c>
      <c r="B48" s="79" t="s">
        <v>79</v>
      </c>
      <c r="C48" s="80">
        <f>+Zal_1_WPF_wg_przeplywow!C54</f>
        <v>0.1176</v>
      </c>
      <c r="D48" s="80">
        <f>+Zal_1_WPF_wg_przeplywow!D54</f>
        <v>0.14</v>
      </c>
      <c r="E48" s="80">
        <f>+Zal_1_WPF_wg_przeplywow!E54</f>
        <v>0.0434</v>
      </c>
      <c r="F48" s="80">
        <f>+Zal_1_WPF_wg_przeplywow!F54</f>
        <v>0.0593</v>
      </c>
      <c r="G48" s="80">
        <f>+Zal_1_WPF_wg_przeplywow!G54</f>
        <v>0.0592</v>
      </c>
      <c r="H48" s="80">
        <f>+Zal_1_WPF_wg_przeplywow!H54</f>
        <v>0.062</v>
      </c>
      <c r="I48" s="80">
        <f>+Zal_1_WPF_wg_przeplywow!I54</f>
        <v>0.0649</v>
      </c>
      <c r="J48" s="80">
        <f>+Zal_1_WPF_wg_przeplywow!J54</f>
        <v>0.0734</v>
      </c>
      <c r="K48" s="80">
        <f>+Zal_1_WPF_wg_przeplywow!K54</f>
        <v>0.0203</v>
      </c>
      <c r="L48" s="80">
        <f>+Zal_1_WPF_wg_przeplywow!L54</f>
        <v>0.0728</v>
      </c>
      <c r="M48" s="80">
        <f>+Zal_1_WPF_wg_przeplywow!M54</f>
        <v>0.0476</v>
      </c>
      <c r="N48" s="80">
        <f>+Zal_1_WPF_wg_przeplywow!N54</f>
        <v>0</v>
      </c>
      <c r="O48" s="80">
        <f>+Zal_1_WPF_wg_przeplywow!O54</f>
        <v>0</v>
      </c>
      <c r="P48" s="80">
        <f>+Zal_1_WPF_wg_przeplywow!P54</f>
        <v>0</v>
      </c>
      <c r="Q48" s="80">
        <f>+Zal_1_WPF_wg_przeplywow!Q54</f>
        <v>0</v>
      </c>
      <c r="R48" s="80">
        <f>+Zal_1_WPF_wg_przeplywow!R54</f>
        <v>0</v>
      </c>
      <c r="S48" s="80">
        <f>+Zal_1_WPF_wg_przeplywow!S54</f>
        <v>0</v>
      </c>
      <c r="T48" s="80">
        <f>+Zal_1_WPF_wg_przeplywow!T54</f>
        <v>0</v>
      </c>
      <c r="U48" s="80">
        <f>+Zal_1_WPF_wg_przeplywow!U54</f>
        <v>0</v>
      </c>
      <c r="V48" s="80">
        <f>+Zal_1_WPF_wg_przeplywow!V54</f>
        <v>0</v>
      </c>
      <c r="W48" s="80">
        <f>+Zal_1_WPF_wg_przeplywow!W54</f>
        <v>0</v>
      </c>
      <c r="X48" s="80">
        <f>+Zal_1_WPF_wg_przeplywow!X54</f>
        <v>0</v>
      </c>
      <c r="Y48" s="80">
        <f>+Zal_1_WPF_wg_przeplywow!Y54</f>
        <v>0</v>
      </c>
      <c r="Z48" s="80">
        <f>+Zal_1_WPF_wg_przeplywow!Z54</f>
        <v>0</v>
      </c>
      <c r="AA48" s="80">
        <f>+Zal_1_WPF_wg_przeplywow!AA54</f>
        <v>0</v>
      </c>
      <c r="AB48" s="80">
        <f>+Zal_1_WPF_wg_przeplywow!AB54</f>
        <v>0</v>
      </c>
      <c r="AC48" s="80">
        <f>+Zal_1_WPF_wg_przeplywow!AC54</f>
        <v>0</v>
      </c>
      <c r="AD48" s="80">
        <f>+Zal_1_WPF_wg_przeplywow!AD54</f>
        <v>0</v>
      </c>
      <c r="AE48" s="80">
        <f>+Zal_1_WPF_wg_przeplywow!AE54</f>
        <v>0</v>
      </c>
      <c r="AF48" s="80">
        <f>+Zal_1_WPF_wg_przeplywow!AF54</f>
        <v>0</v>
      </c>
      <c r="AG48" s="80">
        <f>+Zal_1_WPF_wg_przeplywow!AG54</f>
        <v>0</v>
      </c>
      <c r="AH48" s="80">
        <f>+Zal_1_WPF_wg_przeplywow!AH54</f>
        <v>0</v>
      </c>
      <c r="AI48" s="80">
        <f>+Zal_1_WPF_wg_przeplywow!AI54</f>
        <v>0</v>
      </c>
      <c r="AJ48" s="80">
        <f>+Zal_1_WPF_wg_przeplywow!AJ54</f>
        <v>0</v>
      </c>
      <c r="AK48" s="80">
        <f>+Zal_1_WPF_wg_przeplywow!AK54</f>
        <v>0</v>
      </c>
      <c r="AL48" s="80">
        <f>+Zal_1_WPF_wg_przeplywow!AL54</f>
        <v>0</v>
      </c>
      <c r="AM48" s="80">
        <f>+Zal_1_WPF_wg_przeplywow!AM54</f>
        <v>0</v>
      </c>
      <c r="AN48" s="80">
        <f>+Zal_1_WPF_wg_przeplywow!AN54</f>
        <v>0</v>
      </c>
      <c r="AO48" s="80">
        <f>+Zal_1_WPF_wg_przeplywow!AO54</f>
        <v>0</v>
      </c>
    </row>
    <row r="49" spans="1:41" ht="24">
      <c r="A49" s="87" t="s">
        <v>80</v>
      </c>
      <c r="B49" s="91" t="s">
        <v>81</v>
      </c>
      <c r="C49" s="82" t="str">
        <f>IF(C48&lt;=C$44,"Spełnia  art. 243","Nie spełnia art. 243")</f>
        <v>Nie spełnia art. 243</v>
      </c>
      <c r="D49" s="82" t="str">
        <f aca="true" t="shared" si="25" ref="D49:AD49">IF(D48&lt;=D$44,"Spełnia  art. 243","Nie spełnia art. 243")</f>
        <v>Nie spełnia art. 243</v>
      </c>
      <c r="E49" s="82" t="str">
        <f t="shared" si="25"/>
        <v>Spełnia  art. 243</v>
      </c>
      <c r="F49" s="82" t="str">
        <f t="shared" si="25"/>
        <v>Spełnia  art. 243</v>
      </c>
      <c r="G49" s="82" t="str">
        <f t="shared" si="25"/>
        <v>Spełnia  art. 243</v>
      </c>
      <c r="H49" s="82" t="str">
        <f t="shared" si="25"/>
        <v>Spełnia  art. 243</v>
      </c>
      <c r="I49" s="82" t="str">
        <f t="shared" si="25"/>
        <v>Spełnia  art. 243</v>
      </c>
      <c r="J49" s="82" t="str">
        <f t="shared" si="25"/>
        <v>Spełnia  art. 243</v>
      </c>
      <c r="K49" s="82" t="str">
        <f t="shared" si="25"/>
        <v>Spełnia  art. 243</v>
      </c>
      <c r="L49" s="82" t="str">
        <f t="shared" si="25"/>
        <v>Spełnia  art. 243</v>
      </c>
      <c r="M49" s="82" t="str">
        <f t="shared" si="25"/>
        <v>Spełnia  art. 243</v>
      </c>
      <c r="N49" s="82" t="str">
        <f t="shared" si="25"/>
        <v>Spełnia  art. 243</v>
      </c>
      <c r="O49" s="82" t="str">
        <f t="shared" si="25"/>
        <v>Spełnia  art. 243</v>
      </c>
      <c r="P49" s="82" t="str">
        <f t="shared" si="25"/>
        <v>Spełnia  art. 243</v>
      </c>
      <c r="Q49" s="82" t="str">
        <f t="shared" si="25"/>
        <v>Spełnia  art. 243</v>
      </c>
      <c r="R49" s="82" t="str">
        <f t="shared" si="25"/>
        <v>Spełnia  art. 243</v>
      </c>
      <c r="S49" s="82" t="str">
        <f t="shared" si="25"/>
        <v>Spełnia  art. 243</v>
      </c>
      <c r="T49" s="82" t="str">
        <f t="shared" si="25"/>
        <v>Spełnia  art. 243</v>
      </c>
      <c r="U49" s="82" t="str">
        <f t="shared" si="25"/>
        <v>Spełnia  art. 243</v>
      </c>
      <c r="V49" s="82" t="str">
        <f t="shared" si="25"/>
        <v>Spełnia  art. 243</v>
      </c>
      <c r="W49" s="82" t="str">
        <f t="shared" si="25"/>
        <v>Spełnia  art. 243</v>
      </c>
      <c r="X49" s="82" t="str">
        <f t="shared" si="25"/>
        <v>Spełnia  art. 243</v>
      </c>
      <c r="Y49" s="82" t="str">
        <f t="shared" si="25"/>
        <v>Spełnia  art. 243</v>
      </c>
      <c r="Z49" s="82" t="str">
        <f t="shared" si="25"/>
        <v>Spełnia  art. 243</v>
      </c>
      <c r="AA49" s="82" t="str">
        <f t="shared" si="25"/>
        <v>Spełnia  art. 243</v>
      </c>
      <c r="AB49" s="82" t="str">
        <f t="shared" si="25"/>
        <v>Spełnia  art. 243</v>
      </c>
      <c r="AC49" s="82" t="str">
        <f t="shared" si="25"/>
        <v>Spełnia  art. 243</v>
      </c>
      <c r="AD49" s="82" t="str">
        <f t="shared" si="25"/>
        <v>Spełnia  art. 243</v>
      </c>
      <c r="AE49" s="82" t="str">
        <f aca="true" t="shared" si="26" ref="AE49:AO49">IF(AE48&lt;=AE$44,"Spełnia  art. 243","Nie spełnia art. 243")</f>
        <v>Spełnia  art. 243</v>
      </c>
      <c r="AF49" s="82" t="str">
        <f t="shared" si="26"/>
        <v>Spełnia  art. 243</v>
      </c>
      <c r="AG49" s="82" t="str">
        <f t="shared" si="26"/>
        <v>Spełnia  art. 243</v>
      </c>
      <c r="AH49" s="82" t="str">
        <f t="shared" si="26"/>
        <v>Spełnia  art. 243</v>
      </c>
      <c r="AI49" s="82" t="str">
        <f t="shared" si="26"/>
        <v>Spełnia  art. 243</v>
      </c>
      <c r="AJ49" s="82" t="str">
        <f t="shared" si="26"/>
        <v>Spełnia  art. 243</v>
      </c>
      <c r="AK49" s="82" t="str">
        <f t="shared" si="26"/>
        <v>Spełnia  art. 243</v>
      </c>
      <c r="AL49" s="82" t="str">
        <f t="shared" si="26"/>
        <v>Spełnia  art. 243</v>
      </c>
      <c r="AM49" s="82" t="str">
        <f t="shared" si="26"/>
        <v>Spełnia  art. 243</v>
      </c>
      <c r="AN49" s="82" t="str">
        <f t="shared" si="26"/>
        <v>Spełnia  art. 243</v>
      </c>
      <c r="AO49" s="82" t="str">
        <f t="shared" si="26"/>
        <v>Spełnia  art. 243</v>
      </c>
    </row>
    <row r="50" spans="1:41" ht="12">
      <c r="A50" s="66" t="s">
        <v>23</v>
      </c>
      <c r="B50" s="67" t="s">
        <v>82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12">
      <c r="A51" s="69"/>
      <c r="B51" s="70" t="s">
        <v>4</v>
      </c>
      <c r="C51" s="71">
        <f>+Zal_1_WPF_wg_przeplywow!C14</f>
        <v>14686122</v>
      </c>
      <c r="D51" s="71">
        <f>+Zal_1_WPF_wg_przeplywow!D14</f>
        <v>15133162</v>
      </c>
      <c r="E51" s="71">
        <f>+Zal_1_WPF_wg_przeplywow!E14</f>
        <v>15541758</v>
      </c>
      <c r="F51" s="71">
        <f>+Zal_1_WPF_wg_przeplywow!F14</f>
        <v>15961385</v>
      </c>
      <c r="G51" s="71">
        <f>+Zal_1_WPF_wg_przeplywow!G14</f>
        <v>16392342</v>
      </c>
      <c r="H51" s="71">
        <f>+Zal_1_WPF_wg_przeplywow!H14</f>
        <v>16834936</v>
      </c>
      <c r="I51" s="71">
        <f>+Zal_1_WPF_wg_przeplywow!I14</f>
        <v>17272644</v>
      </c>
      <c r="J51" s="71">
        <f>+Zal_1_WPF_wg_przeplywow!J14</f>
        <v>17721733</v>
      </c>
      <c r="K51" s="71">
        <f>+Zal_1_WPF_wg_przeplywow!K14</f>
        <v>18041291</v>
      </c>
      <c r="L51" s="71">
        <f>+Zal_1_WPF_wg_przeplywow!L14</f>
        <v>18456241</v>
      </c>
      <c r="M51" s="71">
        <f>+Zal_1_WPF_wg_przeplywow!M14</f>
        <v>18880734</v>
      </c>
      <c r="N51" s="71">
        <f>+Zal_1_WPF_wg_przeplywow!N14</f>
        <v>0</v>
      </c>
      <c r="O51" s="71">
        <f>+Zal_1_WPF_wg_przeplywow!O14</f>
        <v>0</v>
      </c>
      <c r="P51" s="71">
        <f>+Zal_1_WPF_wg_przeplywow!P14</f>
        <v>0</v>
      </c>
      <c r="Q51" s="71">
        <f>+Zal_1_WPF_wg_przeplywow!Q14</f>
        <v>0</v>
      </c>
      <c r="R51" s="71">
        <f>+Zal_1_WPF_wg_przeplywow!R14</f>
        <v>0</v>
      </c>
      <c r="S51" s="71">
        <f>+Zal_1_WPF_wg_przeplywow!S14</f>
        <v>0</v>
      </c>
      <c r="T51" s="71">
        <f>+Zal_1_WPF_wg_przeplywow!T14</f>
        <v>0</v>
      </c>
      <c r="U51" s="71">
        <f>+Zal_1_WPF_wg_przeplywow!U14</f>
        <v>0</v>
      </c>
      <c r="V51" s="71">
        <f>+Zal_1_WPF_wg_przeplywow!V14</f>
        <v>0</v>
      </c>
      <c r="W51" s="71">
        <f>+Zal_1_WPF_wg_przeplywow!W14</f>
        <v>0</v>
      </c>
      <c r="X51" s="71">
        <f>+Zal_1_WPF_wg_przeplywow!X14</f>
        <v>0</v>
      </c>
      <c r="Y51" s="71">
        <f>+Zal_1_WPF_wg_przeplywow!Y14</f>
        <v>0</v>
      </c>
      <c r="Z51" s="71">
        <f>+Zal_1_WPF_wg_przeplywow!Z14</f>
        <v>0</v>
      </c>
      <c r="AA51" s="71">
        <f>+Zal_1_WPF_wg_przeplywow!AA14</f>
        <v>0</v>
      </c>
      <c r="AB51" s="71">
        <f>+Zal_1_WPF_wg_przeplywow!AB14</f>
        <v>0</v>
      </c>
      <c r="AC51" s="71">
        <f>+Zal_1_WPF_wg_przeplywow!AC14</f>
        <v>0</v>
      </c>
      <c r="AD51" s="71">
        <f>+Zal_1_WPF_wg_przeplywow!AD14</f>
        <v>0</v>
      </c>
      <c r="AE51" s="71">
        <f>+Zal_1_WPF_wg_przeplywow!AE14</f>
        <v>0</v>
      </c>
      <c r="AF51" s="71">
        <f>+Zal_1_WPF_wg_przeplywow!AF14</f>
        <v>0</v>
      </c>
      <c r="AG51" s="71">
        <f>+Zal_1_WPF_wg_przeplywow!AG14</f>
        <v>0</v>
      </c>
      <c r="AH51" s="71">
        <f>+Zal_1_WPF_wg_przeplywow!AH14</f>
        <v>0</v>
      </c>
      <c r="AI51" s="71">
        <f>+Zal_1_WPF_wg_przeplywow!AI14</f>
        <v>0</v>
      </c>
      <c r="AJ51" s="71">
        <f>+Zal_1_WPF_wg_przeplywow!AJ14</f>
        <v>0</v>
      </c>
      <c r="AK51" s="71">
        <f>+Zal_1_WPF_wg_przeplywow!AK14</f>
        <v>0</v>
      </c>
      <c r="AL51" s="71">
        <f>+Zal_1_WPF_wg_przeplywow!AL14</f>
        <v>0</v>
      </c>
      <c r="AM51" s="71">
        <f>+Zal_1_WPF_wg_przeplywow!AM14</f>
        <v>0</v>
      </c>
      <c r="AN51" s="71">
        <f>+Zal_1_WPF_wg_przeplywow!AN14</f>
        <v>0</v>
      </c>
      <c r="AO51" s="71">
        <f>+Zal_1_WPF_wg_przeplywow!AO14</f>
        <v>0</v>
      </c>
    </row>
    <row r="52" spans="1:41" ht="12">
      <c r="A52" s="69"/>
      <c r="B52" s="70" t="s">
        <v>5</v>
      </c>
      <c r="C52" s="71">
        <f>+Zal_1_WPF_wg_przeplywow!C15</f>
        <v>2954061</v>
      </c>
      <c r="D52" s="71">
        <f>+Zal_1_WPF_wg_przeplywow!D15</f>
        <v>3023685</v>
      </c>
      <c r="E52" s="71">
        <f>+Zal_1_WPF_wg_przeplywow!E15</f>
        <v>3102301</v>
      </c>
      <c r="F52" s="71">
        <f>+Zal_1_WPF_wg_przeplywow!F15</f>
        <v>3182961</v>
      </c>
      <c r="G52" s="71">
        <f>+Zal_1_WPF_wg_przeplywow!G15</f>
        <v>3265718</v>
      </c>
      <c r="H52" s="71">
        <f>+Zal_1_WPF_wg_przeplywow!H15</f>
        <v>3350627</v>
      </c>
      <c r="I52" s="71">
        <f>+Zal_1_WPF_wg_przeplywow!I15</f>
        <v>3434392</v>
      </c>
      <c r="J52" s="71">
        <f>+Zal_1_WPF_wg_przeplywow!J15</f>
        <v>3520252</v>
      </c>
      <c r="K52" s="71">
        <f>+Zal_1_WPF_wg_przeplywow!K15</f>
        <v>3608258</v>
      </c>
      <c r="L52" s="71">
        <f>+Zal_1_WPF_wg_przeplywow!L15</f>
        <v>3691248</v>
      </c>
      <c r="M52" s="71">
        <f>+Zal_1_WPF_wg_przeplywow!M15</f>
        <v>3776147</v>
      </c>
      <c r="N52" s="71">
        <f>+Zal_1_WPF_wg_przeplywow!N15</f>
        <v>0</v>
      </c>
      <c r="O52" s="71">
        <f>+Zal_1_WPF_wg_przeplywow!O15</f>
        <v>0</v>
      </c>
      <c r="P52" s="71">
        <f>+Zal_1_WPF_wg_przeplywow!P15</f>
        <v>0</v>
      </c>
      <c r="Q52" s="71">
        <f>+Zal_1_WPF_wg_przeplywow!Q15</f>
        <v>0</v>
      </c>
      <c r="R52" s="71">
        <f>+Zal_1_WPF_wg_przeplywow!R15</f>
        <v>0</v>
      </c>
      <c r="S52" s="71">
        <f>+Zal_1_WPF_wg_przeplywow!S15</f>
        <v>0</v>
      </c>
      <c r="T52" s="71">
        <f>+Zal_1_WPF_wg_przeplywow!T15</f>
        <v>0</v>
      </c>
      <c r="U52" s="71">
        <f>+Zal_1_WPF_wg_przeplywow!U15</f>
        <v>0</v>
      </c>
      <c r="V52" s="71">
        <f>+Zal_1_WPF_wg_przeplywow!V15</f>
        <v>0</v>
      </c>
      <c r="W52" s="71">
        <f>+Zal_1_WPF_wg_przeplywow!W15</f>
        <v>0</v>
      </c>
      <c r="X52" s="71">
        <f>+Zal_1_WPF_wg_przeplywow!X15</f>
        <v>0</v>
      </c>
      <c r="Y52" s="71">
        <f>+Zal_1_WPF_wg_przeplywow!Y15</f>
        <v>0</v>
      </c>
      <c r="Z52" s="71">
        <f>+Zal_1_WPF_wg_przeplywow!Z15</f>
        <v>0</v>
      </c>
      <c r="AA52" s="71">
        <f>+Zal_1_WPF_wg_przeplywow!AA15</f>
        <v>0</v>
      </c>
      <c r="AB52" s="71">
        <f>+Zal_1_WPF_wg_przeplywow!AB15</f>
        <v>0</v>
      </c>
      <c r="AC52" s="71">
        <f>+Zal_1_WPF_wg_przeplywow!AC15</f>
        <v>0</v>
      </c>
      <c r="AD52" s="71">
        <f>+Zal_1_WPF_wg_przeplywow!AD15</f>
        <v>0</v>
      </c>
      <c r="AE52" s="71">
        <f>+Zal_1_WPF_wg_przeplywow!AE15</f>
        <v>0</v>
      </c>
      <c r="AF52" s="71">
        <f>+Zal_1_WPF_wg_przeplywow!AF15</f>
        <v>0</v>
      </c>
      <c r="AG52" s="71">
        <f>+Zal_1_WPF_wg_przeplywow!AG15</f>
        <v>0</v>
      </c>
      <c r="AH52" s="71">
        <f>+Zal_1_WPF_wg_przeplywow!AH15</f>
        <v>0</v>
      </c>
      <c r="AI52" s="71">
        <f>+Zal_1_WPF_wg_przeplywow!AI15</f>
        <v>0</v>
      </c>
      <c r="AJ52" s="71">
        <f>+Zal_1_WPF_wg_przeplywow!AJ15</f>
        <v>0</v>
      </c>
      <c r="AK52" s="71">
        <f>+Zal_1_WPF_wg_przeplywow!AK15</f>
        <v>0</v>
      </c>
      <c r="AL52" s="71">
        <f>+Zal_1_WPF_wg_przeplywow!AL15</f>
        <v>0</v>
      </c>
      <c r="AM52" s="71">
        <f>+Zal_1_WPF_wg_przeplywow!AM15</f>
        <v>0</v>
      </c>
      <c r="AN52" s="71">
        <f>+Zal_1_WPF_wg_przeplywow!AN15</f>
        <v>0</v>
      </c>
      <c r="AO52" s="71">
        <f>+Zal_1_WPF_wg_przeplywow!AO15</f>
        <v>0</v>
      </c>
    </row>
    <row r="53" spans="1:41" ht="12">
      <c r="A53" s="69"/>
      <c r="B53" s="70" t="s">
        <v>83</v>
      </c>
      <c r="C53" s="71">
        <f>+Zal_1_WPF_wg_przeplywow!C18</f>
        <v>1267420</v>
      </c>
      <c r="D53" s="71">
        <f>+Zal_1_WPF_wg_przeplywow!D18</f>
        <v>460000</v>
      </c>
      <c r="E53" s="71">
        <f>+Zal_1_WPF_wg_przeplywow!E18</f>
        <v>200000</v>
      </c>
      <c r="F53" s="71">
        <f>+Zal_1_WPF_wg_przeplywow!F18</f>
        <v>0</v>
      </c>
      <c r="G53" s="71">
        <f>+Zal_1_WPF_wg_przeplywow!G18</f>
        <v>0</v>
      </c>
      <c r="H53" s="71">
        <f>+Zal_1_WPF_wg_przeplywow!H18</f>
        <v>0</v>
      </c>
      <c r="I53" s="71">
        <f>+Zal_1_WPF_wg_przeplywow!I18</f>
        <v>0</v>
      </c>
      <c r="J53" s="71">
        <f>+Zal_1_WPF_wg_przeplywow!J18</f>
        <v>0</v>
      </c>
      <c r="K53" s="71">
        <f>+Zal_1_WPF_wg_przeplywow!K18</f>
        <v>0</v>
      </c>
      <c r="L53" s="71">
        <f>+Zal_1_WPF_wg_przeplywow!L18</f>
        <v>0</v>
      </c>
      <c r="M53" s="71">
        <f>+Zal_1_WPF_wg_przeplywow!M18</f>
        <v>0</v>
      </c>
      <c r="N53" s="71">
        <f>+Zal_1_WPF_wg_przeplywow!N18</f>
        <v>0</v>
      </c>
      <c r="O53" s="71">
        <f>+Zal_1_WPF_wg_przeplywow!O18</f>
        <v>0</v>
      </c>
      <c r="P53" s="71">
        <f>+Zal_1_WPF_wg_przeplywow!P18</f>
        <v>0</v>
      </c>
      <c r="Q53" s="71">
        <f>+Zal_1_WPF_wg_przeplywow!Q18</f>
        <v>0</v>
      </c>
      <c r="R53" s="71">
        <f>+Zal_1_WPF_wg_przeplywow!R18</f>
        <v>0</v>
      </c>
      <c r="S53" s="71">
        <f>+Zal_1_WPF_wg_przeplywow!S18</f>
        <v>0</v>
      </c>
      <c r="T53" s="71">
        <f>+Zal_1_WPF_wg_przeplywow!T18</f>
        <v>0</v>
      </c>
      <c r="U53" s="71">
        <f>+Zal_1_WPF_wg_przeplywow!U18</f>
        <v>0</v>
      </c>
      <c r="V53" s="71">
        <f>+Zal_1_WPF_wg_przeplywow!V18</f>
        <v>0</v>
      </c>
      <c r="W53" s="71">
        <f>+Zal_1_WPF_wg_przeplywow!W18</f>
        <v>0</v>
      </c>
      <c r="X53" s="71">
        <f>+Zal_1_WPF_wg_przeplywow!X18</f>
        <v>0</v>
      </c>
      <c r="Y53" s="71">
        <f>+Zal_1_WPF_wg_przeplywow!Y18</f>
        <v>0</v>
      </c>
      <c r="Z53" s="71">
        <f>+Zal_1_WPF_wg_przeplywow!Z18</f>
        <v>0</v>
      </c>
      <c r="AA53" s="71">
        <f>+Zal_1_WPF_wg_przeplywow!AA18</f>
        <v>0</v>
      </c>
      <c r="AB53" s="71">
        <f>+Zal_1_WPF_wg_przeplywow!AB18</f>
        <v>0</v>
      </c>
      <c r="AC53" s="71">
        <f>+Zal_1_WPF_wg_przeplywow!AC18</f>
        <v>0</v>
      </c>
      <c r="AD53" s="71">
        <f>+Zal_1_WPF_wg_przeplywow!AD18</f>
        <v>0</v>
      </c>
      <c r="AE53" s="71">
        <f>+Zal_1_WPF_wg_przeplywow!AE18</f>
        <v>0</v>
      </c>
      <c r="AF53" s="71">
        <f>+Zal_1_WPF_wg_przeplywow!AF18</f>
        <v>0</v>
      </c>
      <c r="AG53" s="71">
        <f>+Zal_1_WPF_wg_przeplywow!AG18</f>
        <v>0</v>
      </c>
      <c r="AH53" s="71">
        <f>+Zal_1_WPF_wg_przeplywow!AH18</f>
        <v>0</v>
      </c>
      <c r="AI53" s="71">
        <f>+Zal_1_WPF_wg_przeplywow!AI18</f>
        <v>0</v>
      </c>
      <c r="AJ53" s="71">
        <f>+Zal_1_WPF_wg_przeplywow!AJ18</f>
        <v>0</v>
      </c>
      <c r="AK53" s="71">
        <f>+Zal_1_WPF_wg_przeplywow!AK18</f>
        <v>0</v>
      </c>
      <c r="AL53" s="71">
        <f>+Zal_1_WPF_wg_przeplywow!AL18</f>
        <v>0</v>
      </c>
      <c r="AM53" s="71">
        <f>+Zal_1_WPF_wg_przeplywow!AM18</f>
        <v>0</v>
      </c>
      <c r="AN53" s="71">
        <f>+Zal_1_WPF_wg_przeplywow!AN18</f>
        <v>0</v>
      </c>
      <c r="AO53" s="71">
        <f>+Zal_1_WPF_wg_przeplywow!AO18</f>
        <v>0</v>
      </c>
    </row>
    <row r="54" spans="1:41" ht="12">
      <c r="A54" s="83"/>
      <c r="B54" s="84" t="s">
        <v>84</v>
      </c>
      <c r="C54" s="85">
        <f>+Zal_1_WPF_wg_przeplywow!C34</f>
        <v>3595000</v>
      </c>
      <c r="D54" s="85">
        <f>+Zal_1_WPF_wg_przeplywow!D34</f>
        <v>3068000</v>
      </c>
      <c r="E54" s="85">
        <f>+Zal_1_WPF_wg_przeplywow!E34</f>
        <v>3068000</v>
      </c>
      <c r="F54" s="85">
        <f>+Zal_1_WPF_wg_przeplywow!F34</f>
        <v>3068000</v>
      </c>
      <c r="G54" s="85">
        <f>+Zal_1_WPF_wg_przeplywow!G34</f>
        <v>3372147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  <c r="K54" s="85">
        <f>+Zal_1_WPF_wg_przeplywow!K34</f>
        <v>0</v>
      </c>
      <c r="L54" s="85">
        <f>+Zal_1_WPF_wg_przeplywow!L34</f>
        <v>0</v>
      </c>
      <c r="M54" s="85">
        <f>+Zal_1_WPF_wg_przeplywow!M34</f>
        <v>0</v>
      </c>
      <c r="N54" s="85">
        <f>+Zal_1_WPF_wg_przeplywow!N34</f>
        <v>0</v>
      </c>
      <c r="O54" s="85">
        <f>+Zal_1_WPF_wg_przeplywow!O34</f>
        <v>0</v>
      </c>
      <c r="P54" s="85">
        <f>+Zal_1_WPF_wg_przeplywow!P34</f>
        <v>0</v>
      </c>
      <c r="Q54" s="85">
        <f>+Zal_1_WPF_wg_przeplywow!Q34</f>
        <v>0</v>
      </c>
      <c r="R54" s="85">
        <f>+Zal_1_WPF_wg_przeplywow!R34</f>
        <v>0</v>
      </c>
      <c r="S54" s="85">
        <f>+Zal_1_WPF_wg_przeplywow!S34</f>
        <v>0</v>
      </c>
      <c r="T54" s="85">
        <f>+Zal_1_WPF_wg_przeplywow!T34</f>
        <v>0</v>
      </c>
      <c r="U54" s="85">
        <f>+Zal_1_WPF_wg_przeplywow!U34</f>
        <v>0</v>
      </c>
      <c r="V54" s="85">
        <f>+Zal_1_WPF_wg_przeplywow!V34</f>
        <v>0</v>
      </c>
      <c r="W54" s="85">
        <f>+Zal_1_WPF_wg_przeplywow!W34</f>
        <v>0</v>
      </c>
      <c r="X54" s="85">
        <f>+Zal_1_WPF_wg_przeplywow!X34</f>
        <v>0</v>
      </c>
      <c r="Y54" s="85">
        <f>+Zal_1_WPF_wg_przeplywow!Y34</f>
        <v>0</v>
      </c>
      <c r="Z54" s="85">
        <f>+Zal_1_WPF_wg_przeplywow!Z34</f>
        <v>0</v>
      </c>
      <c r="AA54" s="85">
        <f>+Zal_1_WPF_wg_przeplywow!AA34</f>
        <v>0</v>
      </c>
      <c r="AB54" s="85">
        <f>+Zal_1_WPF_wg_przeplywow!AB34</f>
        <v>0</v>
      </c>
      <c r="AC54" s="85">
        <f>+Zal_1_WPF_wg_przeplywow!AC34</f>
        <v>0</v>
      </c>
      <c r="AD54" s="85">
        <f>+Zal_1_WPF_wg_przeplywow!AD34</f>
        <v>0</v>
      </c>
      <c r="AE54" s="85">
        <f>+Zal_1_WPF_wg_przeplywow!AE34</f>
        <v>0</v>
      </c>
      <c r="AF54" s="85">
        <f>+Zal_1_WPF_wg_przeplywow!AF34</f>
        <v>0</v>
      </c>
      <c r="AG54" s="85">
        <f>+Zal_1_WPF_wg_przeplywow!AG34</f>
        <v>0</v>
      </c>
      <c r="AH54" s="85">
        <f>+Zal_1_WPF_wg_przeplywow!AH34</f>
        <v>0</v>
      </c>
      <c r="AI54" s="85">
        <f>+Zal_1_WPF_wg_przeplywow!AI34</f>
        <v>0</v>
      </c>
      <c r="AJ54" s="85">
        <f>+Zal_1_WPF_wg_przeplywow!AJ34</f>
        <v>0</v>
      </c>
      <c r="AK54" s="85">
        <f>+Zal_1_WPF_wg_przeplywow!AK34</f>
        <v>0</v>
      </c>
      <c r="AL54" s="85">
        <f>+Zal_1_WPF_wg_przeplywow!AL34</f>
        <v>0</v>
      </c>
      <c r="AM54" s="85">
        <f>+Zal_1_WPF_wg_przeplywow!AM34</f>
        <v>0</v>
      </c>
      <c r="AN54" s="85">
        <f>+Zal_1_WPF_wg_przeplywow!AN34</f>
        <v>0</v>
      </c>
      <c r="AO54" s="85">
        <f>+Zal_1_WPF_wg_przeplywow!AO34</f>
        <v>0</v>
      </c>
    </row>
    <row r="55" spans="1:41" ht="24">
      <c r="A55" s="64" t="s">
        <v>24</v>
      </c>
      <c r="B55" s="65" t="s">
        <v>198</v>
      </c>
      <c r="C55" s="58">
        <f>+Zal_1_WPF_wg_przeplywow!C43</f>
        <v>0</v>
      </c>
      <c r="D55" s="58">
        <f>+Zal_1_WPF_wg_przeplywow!D43</f>
        <v>630600</v>
      </c>
      <c r="E55" s="58">
        <f>+Zal_1_WPF_wg_przeplywow!E43</f>
        <v>374626</v>
      </c>
      <c r="F55" s="58">
        <f>+Zal_1_WPF_wg_przeplywow!F43</f>
        <v>411266</v>
      </c>
      <c r="G55" s="58">
        <f>+Zal_1_WPF_wg_przeplywow!G43</f>
        <v>438297</v>
      </c>
      <c r="H55" s="58">
        <f>+Zal_1_WPF_wg_przeplywow!H43</f>
        <v>1694000</v>
      </c>
      <c r="I55" s="58">
        <f>+Zal_1_WPF_wg_przeplywow!I43</f>
        <v>1950000</v>
      </c>
      <c r="J55" s="58">
        <f>+Zal_1_WPF_wg_przeplywow!J43</f>
        <v>2450000</v>
      </c>
      <c r="K55" s="58">
        <f>+Zal_1_WPF_wg_przeplywow!K43</f>
        <v>500000</v>
      </c>
      <c r="L55" s="58">
        <f>+Zal_1_WPF_wg_przeplywow!L43</f>
        <v>2566576</v>
      </c>
      <c r="M55" s="58">
        <f>+Zal_1_WPF_wg_przeplywow!M43</f>
        <v>1693635</v>
      </c>
      <c r="N55" s="58">
        <f>+Zal_1_WPF_wg_przeplywow!N43</f>
        <v>0</v>
      </c>
      <c r="O55" s="58">
        <f>+Zal_1_WPF_wg_przeplywow!O43</f>
        <v>0</v>
      </c>
      <c r="P55" s="58">
        <f>+Zal_1_WPF_wg_przeplywow!P43</f>
        <v>0</v>
      </c>
      <c r="Q55" s="58">
        <f>+Zal_1_WPF_wg_przeplywow!Q43</f>
        <v>0</v>
      </c>
      <c r="R55" s="58">
        <f>+Zal_1_WPF_wg_przeplywow!R43</f>
        <v>0</v>
      </c>
      <c r="S55" s="58">
        <f>+Zal_1_WPF_wg_przeplywow!S43</f>
        <v>0</v>
      </c>
      <c r="T55" s="58">
        <f>+Zal_1_WPF_wg_przeplywow!T43</f>
        <v>0</v>
      </c>
      <c r="U55" s="58">
        <f>+Zal_1_WPF_wg_przeplywow!U43</f>
        <v>0</v>
      </c>
      <c r="V55" s="58">
        <f>+Zal_1_WPF_wg_przeplywow!V43</f>
        <v>0</v>
      </c>
      <c r="W55" s="58">
        <f>+Zal_1_WPF_wg_przeplywow!W43</f>
        <v>0</v>
      </c>
      <c r="X55" s="58">
        <f>+Zal_1_WPF_wg_przeplywow!X43</f>
        <v>0</v>
      </c>
      <c r="Y55" s="58">
        <f>+Zal_1_WPF_wg_przeplywow!Y43</f>
        <v>0</v>
      </c>
      <c r="Z55" s="58">
        <f>+Zal_1_WPF_wg_przeplywow!Z43</f>
        <v>0</v>
      </c>
      <c r="AA55" s="58">
        <f>+Zal_1_WPF_wg_przeplywow!AA43</f>
        <v>0</v>
      </c>
      <c r="AB55" s="58">
        <f>+Zal_1_WPF_wg_przeplywow!AB43</f>
        <v>0</v>
      </c>
      <c r="AC55" s="58">
        <f>+Zal_1_WPF_wg_przeplywow!AC43</f>
        <v>0</v>
      </c>
      <c r="AD55" s="58">
        <f>+Zal_1_WPF_wg_przeplywow!AD43</f>
        <v>0</v>
      </c>
      <c r="AE55" s="58">
        <f>+Zal_1_WPF_wg_przeplywow!AE43</f>
        <v>0</v>
      </c>
      <c r="AF55" s="58">
        <f>+Zal_1_WPF_wg_przeplywow!AF43</f>
        <v>0</v>
      </c>
      <c r="AG55" s="58">
        <f>+Zal_1_WPF_wg_przeplywow!AG43</f>
        <v>0</v>
      </c>
      <c r="AH55" s="58">
        <f>+Zal_1_WPF_wg_przeplywow!AH43</f>
        <v>0</v>
      </c>
      <c r="AI55" s="58">
        <f>+Zal_1_WPF_wg_przeplywow!AI43</f>
        <v>0</v>
      </c>
      <c r="AJ55" s="58">
        <f>+Zal_1_WPF_wg_przeplywow!AJ43</f>
        <v>0</v>
      </c>
      <c r="AK55" s="58">
        <f>+Zal_1_WPF_wg_przeplywow!AK43</f>
        <v>0</v>
      </c>
      <c r="AL55" s="58">
        <f>+Zal_1_WPF_wg_przeplywow!AL43</f>
        <v>0</v>
      </c>
      <c r="AM55" s="58">
        <f>+Zal_1_WPF_wg_przeplywow!AM43</f>
        <v>0</v>
      </c>
      <c r="AN55" s="58">
        <f>+Zal_1_WPF_wg_przeplywow!AN43</f>
        <v>0</v>
      </c>
      <c r="AO55" s="58">
        <f>+Zal_1_WPF_wg_przeplywow!AO43</f>
        <v>0</v>
      </c>
    </row>
    <row r="56" spans="1:41" ht="12">
      <c r="A56" s="66" t="s">
        <v>25</v>
      </c>
      <c r="B56" s="67" t="s">
        <v>93</v>
      </c>
      <c r="C56" s="94">
        <f>+Zal_1_WPF_wg_przeplywow!C44</f>
        <v>0</v>
      </c>
      <c r="D56" s="94">
        <f>+Zal_1_WPF_wg_przeplywow!D44</f>
        <v>0</v>
      </c>
      <c r="E56" s="94">
        <f>+Zal_1_WPF_wg_przeplywow!E44</f>
        <v>0</v>
      </c>
      <c r="F56" s="94">
        <f>+Zal_1_WPF_wg_przeplywow!F44</f>
        <v>0</v>
      </c>
      <c r="G56" s="94">
        <f>+Zal_1_WPF_wg_przeplywow!G44</f>
        <v>0</v>
      </c>
      <c r="H56" s="94">
        <f>+Zal_1_WPF_wg_przeplywow!H44</f>
        <v>0</v>
      </c>
      <c r="I56" s="94">
        <f>+Zal_1_WPF_wg_przeplywow!I44</f>
        <v>0</v>
      </c>
      <c r="J56" s="94">
        <f>+Zal_1_WPF_wg_przeplywow!J44</f>
        <v>0</v>
      </c>
      <c r="K56" s="94">
        <f>+Zal_1_WPF_wg_przeplywow!K44</f>
        <v>0</v>
      </c>
      <c r="L56" s="94">
        <f>+Zal_1_WPF_wg_przeplywow!L44</f>
        <v>0</v>
      </c>
      <c r="M56" s="94">
        <f>+Zal_1_WPF_wg_przeplywow!M44</f>
        <v>0</v>
      </c>
      <c r="N56" s="94">
        <f>+Zal_1_WPF_wg_przeplywow!N44</f>
        <v>0</v>
      </c>
      <c r="O56" s="94">
        <f>+Zal_1_WPF_wg_przeplywow!O44</f>
        <v>0</v>
      </c>
      <c r="P56" s="94">
        <f>+Zal_1_WPF_wg_przeplywow!P44</f>
        <v>0</v>
      </c>
      <c r="Q56" s="94">
        <f>+Zal_1_WPF_wg_przeplywow!Q44</f>
        <v>0</v>
      </c>
      <c r="R56" s="94">
        <f>+Zal_1_WPF_wg_przeplywow!R44</f>
        <v>0</v>
      </c>
      <c r="S56" s="94">
        <f>+Zal_1_WPF_wg_przeplywow!S44</f>
        <v>0</v>
      </c>
      <c r="T56" s="94">
        <f>+Zal_1_WPF_wg_przeplywow!T44</f>
        <v>0</v>
      </c>
      <c r="U56" s="94">
        <f>+Zal_1_WPF_wg_przeplywow!U44</f>
        <v>0</v>
      </c>
      <c r="V56" s="94">
        <f>+Zal_1_WPF_wg_przeplywow!V44</f>
        <v>0</v>
      </c>
      <c r="W56" s="94">
        <f>+Zal_1_WPF_wg_przeplywow!W44</f>
        <v>0</v>
      </c>
      <c r="X56" s="94">
        <f>+Zal_1_WPF_wg_przeplywow!X44</f>
        <v>0</v>
      </c>
      <c r="Y56" s="94">
        <f>+Zal_1_WPF_wg_przeplywow!Y44</f>
        <v>0</v>
      </c>
      <c r="Z56" s="94">
        <f>+Zal_1_WPF_wg_przeplywow!Z44</f>
        <v>0</v>
      </c>
      <c r="AA56" s="94">
        <f>+Zal_1_WPF_wg_przeplywow!AA44</f>
        <v>0</v>
      </c>
      <c r="AB56" s="94">
        <f>+Zal_1_WPF_wg_przeplywow!AB44</f>
        <v>0</v>
      </c>
      <c r="AC56" s="94">
        <f>+Zal_1_WPF_wg_przeplywow!AC44</f>
        <v>0</v>
      </c>
      <c r="AD56" s="94">
        <f>+Zal_1_WPF_wg_przeplywow!AD44</f>
        <v>0</v>
      </c>
      <c r="AE56" s="94">
        <f>+Zal_1_WPF_wg_przeplywow!AE44</f>
        <v>0</v>
      </c>
      <c r="AF56" s="94">
        <f>+Zal_1_WPF_wg_przeplywow!AF44</f>
        <v>0</v>
      </c>
      <c r="AG56" s="94">
        <f>+Zal_1_WPF_wg_przeplywow!AG44</f>
        <v>0</v>
      </c>
      <c r="AH56" s="94">
        <f>+Zal_1_WPF_wg_przeplywow!AH44</f>
        <v>0</v>
      </c>
      <c r="AI56" s="94">
        <f>+Zal_1_WPF_wg_przeplywow!AI44</f>
        <v>0</v>
      </c>
      <c r="AJ56" s="94">
        <f>+Zal_1_WPF_wg_przeplywow!AJ44</f>
        <v>0</v>
      </c>
      <c r="AK56" s="94">
        <f>+Zal_1_WPF_wg_przeplywow!AK44</f>
        <v>0</v>
      </c>
      <c r="AL56" s="94">
        <f>+Zal_1_WPF_wg_przeplywow!AL44</f>
        <v>0</v>
      </c>
      <c r="AM56" s="94">
        <f>+Zal_1_WPF_wg_przeplywow!AM44</f>
        <v>0</v>
      </c>
      <c r="AN56" s="94">
        <f>+Zal_1_WPF_wg_przeplywow!AN44</f>
        <v>0</v>
      </c>
      <c r="AO56" s="94">
        <f>+Zal_1_WPF_wg_przeplywow!AO44</f>
        <v>0</v>
      </c>
    </row>
    <row r="57" spans="1:41" ht="24">
      <c r="A57" s="83"/>
      <c r="B57" s="84" t="s">
        <v>94</v>
      </c>
      <c r="C57" s="85">
        <f>+Zal_1_WPF_wg_przeplywow!C45</f>
        <v>0</v>
      </c>
      <c r="D57" s="85">
        <f>+Zal_1_WPF_wg_przeplywow!D45</f>
        <v>0</v>
      </c>
      <c r="E57" s="85">
        <f>+Zal_1_WPF_wg_przeplywow!E45</f>
        <v>0</v>
      </c>
      <c r="F57" s="85">
        <f>+Zal_1_WPF_wg_przeplywow!F45</f>
        <v>0</v>
      </c>
      <c r="G57" s="85">
        <f>+Zal_1_WPF_wg_przeplywow!G45</f>
        <v>0</v>
      </c>
      <c r="H57" s="85">
        <f>+Zal_1_WPF_wg_przeplywow!H45</f>
        <v>0</v>
      </c>
      <c r="I57" s="85">
        <f>+Zal_1_WPF_wg_przeplywow!I45</f>
        <v>0</v>
      </c>
      <c r="J57" s="85">
        <f>+Zal_1_WPF_wg_przeplywow!J45</f>
        <v>0</v>
      </c>
      <c r="K57" s="85">
        <f>+Zal_1_WPF_wg_przeplywow!K45</f>
        <v>0</v>
      </c>
      <c r="L57" s="85">
        <f>+Zal_1_WPF_wg_przeplywow!L45</f>
        <v>0</v>
      </c>
      <c r="M57" s="85">
        <f>+Zal_1_WPF_wg_przeplywow!M45</f>
        <v>0</v>
      </c>
      <c r="N57" s="85">
        <f>+Zal_1_WPF_wg_przeplywow!N45</f>
        <v>0</v>
      </c>
      <c r="O57" s="85">
        <f>+Zal_1_WPF_wg_przeplywow!O45</f>
        <v>0</v>
      </c>
      <c r="P57" s="85">
        <f>+Zal_1_WPF_wg_przeplywow!P45</f>
        <v>0</v>
      </c>
      <c r="Q57" s="85">
        <f>+Zal_1_WPF_wg_przeplywow!Q45</f>
        <v>0</v>
      </c>
      <c r="R57" s="85">
        <f>+Zal_1_WPF_wg_przeplywow!R45</f>
        <v>0</v>
      </c>
      <c r="S57" s="85">
        <f>+Zal_1_WPF_wg_przeplywow!S45</f>
        <v>0</v>
      </c>
      <c r="T57" s="85">
        <f>+Zal_1_WPF_wg_przeplywow!T45</f>
        <v>0</v>
      </c>
      <c r="U57" s="85">
        <f>+Zal_1_WPF_wg_przeplywow!U45</f>
        <v>0</v>
      </c>
      <c r="V57" s="85">
        <f>+Zal_1_WPF_wg_przeplywow!V45</f>
        <v>0</v>
      </c>
      <c r="W57" s="85">
        <f>+Zal_1_WPF_wg_przeplywow!W45</f>
        <v>0</v>
      </c>
      <c r="X57" s="85">
        <f>+Zal_1_WPF_wg_przeplywow!X45</f>
        <v>0</v>
      </c>
      <c r="Y57" s="85">
        <f>+Zal_1_WPF_wg_przeplywow!Y45</f>
        <v>0</v>
      </c>
      <c r="Z57" s="85">
        <f>+Zal_1_WPF_wg_przeplywow!Z45</f>
        <v>0</v>
      </c>
      <c r="AA57" s="85">
        <f>+Zal_1_WPF_wg_przeplywow!AA45</f>
        <v>0</v>
      </c>
      <c r="AB57" s="85">
        <f>+Zal_1_WPF_wg_przeplywow!AB45</f>
        <v>0</v>
      </c>
      <c r="AC57" s="85">
        <f>+Zal_1_WPF_wg_przeplywow!AC45</f>
        <v>0</v>
      </c>
      <c r="AD57" s="85">
        <f>+Zal_1_WPF_wg_przeplywow!AD45</f>
        <v>0</v>
      </c>
      <c r="AE57" s="85">
        <f>+Zal_1_WPF_wg_przeplywow!AE45</f>
        <v>0</v>
      </c>
      <c r="AF57" s="85">
        <f>+Zal_1_WPF_wg_przeplywow!AF45</f>
        <v>0</v>
      </c>
      <c r="AG57" s="85">
        <f>+Zal_1_WPF_wg_przeplywow!AG45</f>
        <v>0</v>
      </c>
      <c r="AH57" s="85">
        <f>+Zal_1_WPF_wg_przeplywow!AH45</f>
        <v>0</v>
      </c>
      <c r="AI57" s="85">
        <f>+Zal_1_WPF_wg_przeplywow!AI45</f>
        <v>0</v>
      </c>
      <c r="AJ57" s="85">
        <f>+Zal_1_WPF_wg_przeplywow!AJ45</f>
        <v>0</v>
      </c>
      <c r="AK57" s="85">
        <f>+Zal_1_WPF_wg_przeplywow!AK45</f>
        <v>0</v>
      </c>
      <c r="AL57" s="85">
        <f>+Zal_1_WPF_wg_przeplywow!AL45</f>
        <v>0</v>
      </c>
      <c r="AM57" s="85">
        <f>+Zal_1_WPF_wg_przeplywow!AM45</f>
        <v>0</v>
      </c>
      <c r="AN57" s="85">
        <f>+Zal_1_WPF_wg_przeplywow!AN45</f>
        <v>0</v>
      </c>
      <c r="AO57" s="85">
        <f>+Zal_1_WPF_wg_przeplywow!AO45</f>
        <v>0</v>
      </c>
    </row>
    <row r="58" spans="1:3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>
      <c r="B60" s="46" t="s">
        <v>164</v>
      </c>
    </row>
    <row r="61" ht="12">
      <c r="B61" s="46"/>
    </row>
    <row r="63" ht="12">
      <c r="B63" s="22" t="s">
        <v>183</v>
      </c>
    </row>
    <row r="64" ht="12">
      <c r="B64" s="163" t="s">
        <v>189</v>
      </c>
    </row>
    <row r="65" ht="12">
      <c r="B65" s="162" t="s">
        <v>190</v>
      </c>
    </row>
    <row r="67" spans="2:41" ht="12">
      <c r="B67" s="164" t="s">
        <v>170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27" ref="F67:AO67">IF(((F6+F25)-(F12+F32))=0,"OK.",+(F6+F25)-(F12+F32))</f>
        <v>OK.</v>
      </c>
      <c r="G67" s="165" t="str">
        <f t="shared" si="27"/>
        <v>OK.</v>
      </c>
      <c r="H67" s="165" t="str">
        <f t="shared" si="27"/>
        <v>OK.</v>
      </c>
      <c r="I67" s="165" t="str">
        <f t="shared" si="27"/>
        <v>OK.</v>
      </c>
      <c r="J67" s="165" t="str">
        <f t="shared" si="27"/>
        <v>OK.</v>
      </c>
      <c r="K67" s="165" t="str">
        <f t="shared" si="27"/>
        <v>OK.</v>
      </c>
      <c r="L67" s="165" t="str">
        <f t="shared" si="27"/>
        <v>OK.</v>
      </c>
      <c r="M67" s="165" t="str">
        <f t="shared" si="27"/>
        <v>OK.</v>
      </c>
      <c r="N67" s="165" t="str">
        <f t="shared" si="27"/>
        <v>OK.</v>
      </c>
      <c r="O67" s="165" t="str">
        <f t="shared" si="27"/>
        <v>OK.</v>
      </c>
      <c r="P67" s="165" t="str">
        <f t="shared" si="27"/>
        <v>OK.</v>
      </c>
      <c r="Q67" s="165" t="str">
        <f t="shared" si="27"/>
        <v>OK.</v>
      </c>
      <c r="R67" s="165" t="str">
        <f t="shared" si="27"/>
        <v>OK.</v>
      </c>
      <c r="S67" s="165" t="str">
        <f t="shared" si="27"/>
        <v>OK.</v>
      </c>
      <c r="T67" s="165" t="str">
        <f t="shared" si="27"/>
        <v>OK.</v>
      </c>
      <c r="U67" s="165" t="str">
        <f t="shared" si="27"/>
        <v>OK.</v>
      </c>
      <c r="V67" s="165" t="str">
        <f t="shared" si="27"/>
        <v>OK.</v>
      </c>
      <c r="W67" s="165" t="str">
        <f t="shared" si="27"/>
        <v>OK.</v>
      </c>
      <c r="X67" s="165" t="str">
        <f t="shared" si="27"/>
        <v>OK.</v>
      </c>
      <c r="Y67" s="165" t="str">
        <f t="shared" si="27"/>
        <v>OK.</v>
      </c>
      <c r="Z67" s="165" t="str">
        <f t="shared" si="27"/>
        <v>OK.</v>
      </c>
      <c r="AA67" s="165" t="str">
        <f t="shared" si="27"/>
        <v>OK.</v>
      </c>
      <c r="AB67" s="165" t="str">
        <f t="shared" si="27"/>
        <v>OK.</v>
      </c>
      <c r="AC67" s="165" t="str">
        <f t="shared" si="27"/>
        <v>OK.</v>
      </c>
      <c r="AD67" s="165" t="str">
        <f t="shared" si="27"/>
        <v>OK.</v>
      </c>
      <c r="AE67" s="165" t="str">
        <f t="shared" si="27"/>
        <v>OK.</v>
      </c>
      <c r="AF67" s="165" t="str">
        <f t="shared" si="27"/>
        <v>OK.</v>
      </c>
      <c r="AG67" s="165" t="str">
        <f t="shared" si="27"/>
        <v>OK.</v>
      </c>
      <c r="AH67" s="165" t="str">
        <f t="shared" si="27"/>
        <v>OK.</v>
      </c>
      <c r="AI67" s="165" t="str">
        <f t="shared" si="27"/>
        <v>OK.</v>
      </c>
      <c r="AJ67" s="165" t="str">
        <f t="shared" si="27"/>
        <v>OK.</v>
      </c>
      <c r="AK67" s="165" t="str">
        <f t="shared" si="27"/>
        <v>OK.</v>
      </c>
      <c r="AL67" s="165" t="str">
        <f t="shared" si="27"/>
        <v>OK.</v>
      </c>
      <c r="AM67" s="165" t="str">
        <f t="shared" si="27"/>
        <v>OK.</v>
      </c>
      <c r="AN67" s="165" t="str">
        <f t="shared" si="27"/>
        <v>OK.</v>
      </c>
      <c r="AO67" s="165" t="str">
        <f t="shared" si="27"/>
        <v>OK.</v>
      </c>
    </row>
    <row r="68" spans="2:41" ht="12">
      <c r="B68" s="217" t="s">
        <v>230</v>
      </c>
      <c r="C68" s="216" t="str">
        <f>IF(C41&lt;=15%,"OK.","Przekroczenie")</f>
        <v>OK.</v>
      </c>
      <c r="D68" s="216" t="str">
        <f>IF(D41&lt;=15%,"OK.","Przekroczenie")</f>
        <v>OK.</v>
      </c>
      <c r="E68" s="218" t="s">
        <v>209</v>
      </c>
      <c r="F68" s="218" t="s">
        <v>209</v>
      </c>
      <c r="G68" s="218" t="s">
        <v>209</v>
      </c>
      <c r="H68" s="218" t="s">
        <v>209</v>
      </c>
      <c r="I68" s="218" t="s">
        <v>209</v>
      </c>
      <c r="J68" s="218" t="s">
        <v>209</v>
      </c>
      <c r="K68" s="218" t="s">
        <v>209</v>
      </c>
      <c r="L68" s="218" t="s">
        <v>209</v>
      </c>
      <c r="M68" s="218" t="s">
        <v>209</v>
      </c>
      <c r="N68" s="218" t="s">
        <v>209</v>
      </c>
      <c r="O68" s="218" t="s">
        <v>209</v>
      </c>
      <c r="P68" s="218" t="s">
        <v>209</v>
      </c>
      <c r="Q68" s="218" t="s">
        <v>209</v>
      </c>
      <c r="R68" s="218" t="s">
        <v>209</v>
      </c>
      <c r="S68" s="218" t="s">
        <v>209</v>
      </c>
      <c r="T68" s="218" t="s">
        <v>209</v>
      </c>
      <c r="U68" s="218" t="s">
        <v>209</v>
      </c>
      <c r="V68" s="218" t="s">
        <v>209</v>
      </c>
      <c r="W68" s="218" t="s">
        <v>209</v>
      </c>
      <c r="X68" s="218" t="s">
        <v>209</v>
      </c>
      <c r="Y68" s="218" t="s">
        <v>209</v>
      </c>
      <c r="Z68" s="218" t="s">
        <v>209</v>
      </c>
      <c r="AA68" s="218" t="s">
        <v>209</v>
      </c>
      <c r="AB68" s="218" t="s">
        <v>209</v>
      </c>
      <c r="AC68" s="218" t="s">
        <v>209</v>
      </c>
      <c r="AD68" s="218" t="s">
        <v>209</v>
      </c>
      <c r="AE68" s="218" t="s">
        <v>209</v>
      </c>
      <c r="AF68" s="218" t="s">
        <v>209</v>
      </c>
      <c r="AG68" s="218" t="s">
        <v>209</v>
      </c>
      <c r="AH68" s="218" t="s">
        <v>209</v>
      </c>
      <c r="AI68" s="218" t="s">
        <v>209</v>
      </c>
      <c r="AJ68" s="218" t="s">
        <v>209</v>
      </c>
      <c r="AK68" s="218" t="s">
        <v>209</v>
      </c>
      <c r="AL68" s="218" t="s">
        <v>209</v>
      </c>
      <c r="AM68" s="218" t="s">
        <v>209</v>
      </c>
      <c r="AN68" s="218" t="s">
        <v>209</v>
      </c>
      <c r="AO68" s="218" t="s">
        <v>209</v>
      </c>
    </row>
    <row r="69" spans="2:41" ht="12">
      <c r="B69" s="217" t="s">
        <v>231</v>
      </c>
      <c r="C69" s="216" t="str">
        <f>IF(C42&lt;=15%,"OK.","Przekroczenie")</f>
        <v>OK.</v>
      </c>
      <c r="D69" s="216" t="str">
        <f>IF(D42&lt;=15%,"OK.","Przekroczenie")</f>
        <v>OK.</v>
      </c>
      <c r="E69" s="218" t="s">
        <v>209</v>
      </c>
      <c r="F69" s="218" t="s">
        <v>209</v>
      </c>
      <c r="G69" s="218" t="s">
        <v>209</v>
      </c>
      <c r="H69" s="218" t="s">
        <v>209</v>
      </c>
      <c r="I69" s="218" t="s">
        <v>209</v>
      </c>
      <c r="J69" s="218" t="s">
        <v>209</v>
      </c>
      <c r="K69" s="218" t="s">
        <v>209</v>
      </c>
      <c r="L69" s="218" t="s">
        <v>209</v>
      </c>
      <c r="M69" s="218" t="s">
        <v>209</v>
      </c>
      <c r="N69" s="218" t="s">
        <v>209</v>
      </c>
      <c r="O69" s="218" t="s">
        <v>209</v>
      </c>
      <c r="P69" s="218" t="s">
        <v>209</v>
      </c>
      <c r="Q69" s="218" t="s">
        <v>209</v>
      </c>
      <c r="R69" s="218" t="s">
        <v>209</v>
      </c>
      <c r="S69" s="218" t="s">
        <v>209</v>
      </c>
      <c r="T69" s="218" t="s">
        <v>209</v>
      </c>
      <c r="U69" s="218" t="s">
        <v>209</v>
      </c>
      <c r="V69" s="218" t="s">
        <v>209</v>
      </c>
      <c r="W69" s="218" t="s">
        <v>209</v>
      </c>
      <c r="X69" s="218" t="s">
        <v>209</v>
      </c>
      <c r="Y69" s="218" t="s">
        <v>209</v>
      </c>
      <c r="Z69" s="218" t="s">
        <v>209</v>
      </c>
      <c r="AA69" s="218" t="s">
        <v>209</v>
      </c>
      <c r="AB69" s="218" t="s">
        <v>209</v>
      </c>
      <c r="AC69" s="218" t="s">
        <v>209</v>
      </c>
      <c r="AD69" s="218" t="s">
        <v>209</v>
      </c>
      <c r="AE69" s="218" t="s">
        <v>209</v>
      </c>
      <c r="AF69" s="218" t="s">
        <v>209</v>
      </c>
      <c r="AG69" s="218" t="s">
        <v>209</v>
      </c>
      <c r="AH69" s="218" t="s">
        <v>209</v>
      </c>
      <c r="AI69" s="218" t="s">
        <v>209</v>
      </c>
      <c r="AJ69" s="218" t="s">
        <v>209</v>
      </c>
      <c r="AK69" s="218" t="s">
        <v>209</v>
      </c>
      <c r="AL69" s="218" t="s">
        <v>209</v>
      </c>
      <c r="AM69" s="218" t="s">
        <v>209</v>
      </c>
      <c r="AN69" s="218" t="s">
        <v>209</v>
      </c>
      <c r="AO69" s="218" t="s">
        <v>209</v>
      </c>
    </row>
    <row r="70" spans="2:41" ht="12">
      <c r="B70" s="217" t="s">
        <v>228</v>
      </c>
      <c r="C70" s="216" t="str">
        <f>IF(C39&lt;=60%,"OK.","Przekroczenie")</f>
        <v>OK.</v>
      </c>
      <c r="D70" s="216" t="str">
        <f>IF(D39&lt;=60%,"OK.","Przekroczenie")</f>
        <v>OK.</v>
      </c>
      <c r="E70" s="218" t="s">
        <v>209</v>
      </c>
      <c r="F70" s="218" t="s">
        <v>209</v>
      </c>
      <c r="G70" s="218" t="s">
        <v>209</v>
      </c>
      <c r="H70" s="218" t="s">
        <v>209</v>
      </c>
      <c r="I70" s="218" t="s">
        <v>209</v>
      </c>
      <c r="J70" s="218" t="s">
        <v>209</v>
      </c>
      <c r="K70" s="218" t="s">
        <v>209</v>
      </c>
      <c r="L70" s="218" t="s">
        <v>209</v>
      </c>
      <c r="M70" s="218" t="s">
        <v>209</v>
      </c>
      <c r="N70" s="218" t="s">
        <v>209</v>
      </c>
      <c r="O70" s="218" t="s">
        <v>209</v>
      </c>
      <c r="P70" s="218" t="s">
        <v>209</v>
      </c>
      <c r="Q70" s="218" t="s">
        <v>209</v>
      </c>
      <c r="R70" s="218" t="s">
        <v>209</v>
      </c>
      <c r="S70" s="218" t="s">
        <v>209</v>
      </c>
      <c r="T70" s="218" t="s">
        <v>209</v>
      </c>
      <c r="U70" s="218" t="s">
        <v>209</v>
      </c>
      <c r="V70" s="218" t="s">
        <v>209</v>
      </c>
      <c r="W70" s="218" t="s">
        <v>209</v>
      </c>
      <c r="X70" s="218" t="s">
        <v>209</v>
      </c>
      <c r="Y70" s="218" t="s">
        <v>209</v>
      </c>
      <c r="Z70" s="218" t="s">
        <v>209</v>
      </c>
      <c r="AA70" s="218" t="s">
        <v>209</v>
      </c>
      <c r="AB70" s="218" t="s">
        <v>209</v>
      </c>
      <c r="AC70" s="218" t="s">
        <v>209</v>
      </c>
      <c r="AD70" s="218" t="s">
        <v>209</v>
      </c>
      <c r="AE70" s="218" t="s">
        <v>209</v>
      </c>
      <c r="AF70" s="218" t="s">
        <v>209</v>
      </c>
      <c r="AG70" s="218" t="s">
        <v>209</v>
      </c>
      <c r="AH70" s="218" t="s">
        <v>209</v>
      </c>
      <c r="AI70" s="218" t="s">
        <v>209</v>
      </c>
      <c r="AJ70" s="218" t="s">
        <v>209</v>
      </c>
      <c r="AK70" s="218" t="s">
        <v>209</v>
      </c>
      <c r="AL70" s="218" t="s">
        <v>209</v>
      </c>
      <c r="AM70" s="218" t="s">
        <v>209</v>
      </c>
      <c r="AN70" s="218" t="s">
        <v>209</v>
      </c>
      <c r="AO70" s="218" t="s">
        <v>209</v>
      </c>
    </row>
    <row r="71" spans="2:41" ht="12">
      <c r="B71" s="217" t="s">
        <v>232</v>
      </c>
      <c r="C71" s="216" t="str">
        <f>IF(C40&lt;=60%,"OK.","Przekroczenie")</f>
        <v>OK.</v>
      </c>
      <c r="D71" s="216" t="str">
        <f>IF(D40&lt;=60%,"OK.","Przekroczenie")</f>
        <v>OK.</v>
      </c>
      <c r="E71" s="218" t="s">
        <v>209</v>
      </c>
      <c r="F71" s="218" t="s">
        <v>209</v>
      </c>
      <c r="G71" s="218" t="s">
        <v>209</v>
      </c>
      <c r="H71" s="218" t="s">
        <v>209</v>
      </c>
      <c r="I71" s="218" t="s">
        <v>209</v>
      </c>
      <c r="J71" s="218" t="s">
        <v>209</v>
      </c>
      <c r="K71" s="218" t="s">
        <v>209</v>
      </c>
      <c r="L71" s="218" t="s">
        <v>209</v>
      </c>
      <c r="M71" s="218" t="s">
        <v>209</v>
      </c>
      <c r="N71" s="218" t="s">
        <v>209</v>
      </c>
      <c r="O71" s="218" t="s">
        <v>209</v>
      </c>
      <c r="P71" s="218" t="s">
        <v>209</v>
      </c>
      <c r="Q71" s="218" t="s">
        <v>209</v>
      </c>
      <c r="R71" s="218" t="s">
        <v>209</v>
      </c>
      <c r="S71" s="218" t="s">
        <v>209</v>
      </c>
      <c r="T71" s="218" t="s">
        <v>209</v>
      </c>
      <c r="U71" s="218" t="s">
        <v>209</v>
      </c>
      <c r="V71" s="218" t="s">
        <v>209</v>
      </c>
      <c r="W71" s="218" t="s">
        <v>209</v>
      </c>
      <c r="X71" s="218" t="s">
        <v>209</v>
      </c>
      <c r="Y71" s="218" t="s">
        <v>209</v>
      </c>
      <c r="Z71" s="218" t="s">
        <v>209</v>
      </c>
      <c r="AA71" s="218" t="s">
        <v>209</v>
      </c>
      <c r="AB71" s="218" t="s">
        <v>209</v>
      </c>
      <c r="AC71" s="218" t="s">
        <v>209</v>
      </c>
      <c r="AD71" s="218" t="s">
        <v>209</v>
      </c>
      <c r="AE71" s="218" t="s">
        <v>209</v>
      </c>
      <c r="AF71" s="218" t="s">
        <v>209</v>
      </c>
      <c r="AG71" s="218" t="s">
        <v>209</v>
      </c>
      <c r="AH71" s="218" t="s">
        <v>209</v>
      </c>
      <c r="AI71" s="218" t="s">
        <v>209</v>
      </c>
      <c r="AJ71" s="218" t="s">
        <v>209</v>
      </c>
      <c r="AK71" s="218" t="s">
        <v>209</v>
      </c>
      <c r="AL71" s="218" t="s">
        <v>209</v>
      </c>
      <c r="AM71" s="218" t="s">
        <v>209</v>
      </c>
      <c r="AN71" s="218" t="s">
        <v>209</v>
      </c>
      <c r="AO71" s="218" t="s">
        <v>209</v>
      </c>
    </row>
    <row r="72" spans="2:41" ht="33.75">
      <c r="B72" s="217" t="s">
        <v>229</v>
      </c>
      <c r="C72" s="216" t="str">
        <f>IF((C7+C27)&gt;=C13,"OK.",C7+C27-C13)</f>
        <v>OK.</v>
      </c>
      <c r="D72" s="216" t="str">
        <f aca="true" t="shared" si="28" ref="D72:AO72">IF((D7+D27)&gt;=D13,"OK.",D7+D27-D13)</f>
        <v>OK.</v>
      </c>
      <c r="E72" s="216" t="str">
        <f t="shared" si="28"/>
        <v>OK.</v>
      </c>
      <c r="F72" s="216" t="str">
        <f t="shared" si="28"/>
        <v>OK.</v>
      </c>
      <c r="G72" s="216" t="str">
        <f t="shared" si="28"/>
        <v>OK.</v>
      </c>
      <c r="H72" s="216" t="str">
        <f t="shared" si="28"/>
        <v>OK.</v>
      </c>
      <c r="I72" s="216" t="str">
        <f t="shared" si="28"/>
        <v>OK.</v>
      </c>
      <c r="J72" s="216" t="str">
        <f t="shared" si="28"/>
        <v>OK.</v>
      </c>
      <c r="K72" s="216" t="str">
        <f t="shared" si="28"/>
        <v>OK.</v>
      </c>
      <c r="L72" s="216" t="str">
        <f t="shared" si="28"/>
        <v>OK.</v>
      </c>
      <c r="M72" s="216" t="str">
        <f t="shared" si="28"/>
        <v>OK.</v>
      </c>
      <c r="N72" s="216" t="str">
        <f t="shared" si="28"/>
        <v>OK.</v>
      </c>
      <c r="O72" s="216" t="str">
        <f t="shared" si="28"/>
        <v>OK.</v>
      </c>
      <c r="P72" s="216" t="str">
        <f t="shared" si="28"/>
        <v>OK.</v>
      </c>
      <c r="Q72" s="216" t="str">
        <f t="shared" si="28"/>
        <v>OK.</v>
      </c>
      <c r="R72" s="216" t="str">
        <f t="shared" si="28"/>
        <v>OK.</v>
      </c>
      <c r="S72" s="216" t="str">
        <f t="shared" si="28"/>
        <v>OK.</v>
      </c>
      <c r="T72" s="216" t="str">
        <f t="shared" si="28"/>
        <v>OK.</v>
      </c>
      <c r="U72" s="216" t="str">
        <f t="shared" si="28"/>
        <v>OK.</v>
      </c>
      <c r="V72" s="216" t="str">
        <f t="shared" si="28"/>
        <v>OK.</v>
      </c>
      <c r="W72" s="216" t="str">
        <f t="shared" si="28"/>
        <v>OK.</v>
      </c>
      <c r="X72" s="216" t="str">
        <f t="shared" si="28"/>
        <v>OK.</v>
      </c>
      <c r="Y72" s="216" t="str">
        <f t="shared" si="28"/>
        <v>OK.</v>
      </c>
      <c r="Z72" s="216" t="str">
        <f t="shared" si="28"/>
        <v>OK.</v>
      </c>
      <c r="AA72" s="216" t="str">
        <f t="shared" si="28"/>
        <v>OK.</v>
      </c>
      <c r="AB72" s="216" t="str">
        <f t="shared" si="28"/>
        <v>OK.</v>
      </c>
      <c r="AC72" s="216" t="str">
        <f t="shared" si="28"/>
        <v>OK.</v>
      </c>
      <c r="AD72" s="216" t="str">
        <f t="shared" si="28"/>
        <v>OK.</v>
      </c>
      <c r="AE72" s="216" t="str">
        <f t="shared" si="28"/>
        <v>OK.</v>
      </c>
      <c r="AF72" s="216" t="str">
        <f t="shared" si="28"/>
        <v>OK.</v>
      </c>
      <c r="AG72" s="216" t="str">
        <f t="shared" si="28"/>
        <v>OK.</v>
      </c>
      <c r="AH72" s="216" t="str">
        <f t="shared" si="28"/>
        <v>OK.</v>
      </c>
      <c r="AI72" s="216" t="str">
        <f t="shared" si="28"/>
        <v>OK.</v>
      </c>
      <c r="AJ72" s="216" t="str">
        <f t="shared" si="28"/>
        <v>OK.</v>
      </c>
      <c r="AK72" s="216" t="str">
        <f t="shared" si="28"/>
        <v>OK.</v>
      </c>
      <c r="AL72" s="216" t="str">
        <f t="shared" si="28"/>
        <v>OK.</v>
      </c>
      <c r="AM72" s="216" t="str">
        <f t="shared" si="28"/>
        <v>OK.</v>
      </c>
      <c r="AN72" s="216" t="str">
        <f t="shared" si="28"/>
        <v>OK.</v>
      </c>
      <c r="AO72" s="216" t="str">
        <f t="shared" si="28"/>
        <v>OK.</v>
      </c>
    </row>
    <row r="73" spans="2:41" ht="22.5">
      <c r="B73" s="167" t="s">
        <v>191</v>
      </c>
      <c r="C73" s="166" t="str">
        <f>+IF(C22&gt;0,IF((C31+C29+C27)&gt;0,"Błąd","OK."),"nie dotyczy")</f>
        <v>nie dotyczy</v>
      </c>
      <c r="D73" s="166" t="str">
        <f aca="true" t="shared" si="29" ref="D73:AO73">+IF(D22&gt;0,IF((D31+D29+D27)&gt;0,"Błąd","OK."),"nie dotyczy")</f>
        <v>OK.</v>
      </c>
      <c r="E73" s="166" t="str">
        <f t="shared" si="29"/>
        <v>OK.</v>
      </c>
      <c r="F73" s="166" t="str">
        <f t="shared" si="29"/>
        <v>OK.</v>
      </c>
      <c r="G73" s="166" t="str">
        <f t="shared" si="29"/>
        <v>OK.</v>
      </c>
      <c r="H73" s="166" t="str">
        <f t="shared" si="29"/>
        <v>OK.</v>
      </c>
      <c r="I73" s="166" t="str">
        <f t="shared" si="29"/>
        <v>OK.</v>
      </c>
      <c r="J73" s="166" t="str">
        <f t="shared" si="29"/>
        <v>OK.</v>
      </c>
      <c r="K73" s="166" t="str">
        <f t="shared" si="29"/>
        <v>OK.</v>
      </c>
      <c r="L73" s="166" t="str">
        <f t="shared" si="29"/>
        <v>OK.</v>
      </c>
      <c r="M73" s="166" t="str">
        <f t="shared" si="29"/>
        <v>OK.</v>
      </c>
      <c r="N73" s="166" t="str">
        <f t="shared" si="29"/>
        <v>nie dotyczy</v>
      </c>
      <c r="O73" s="166" t="str">
        <f t="shared" si="29"/>
        <v>nie dotyczy</v>
      </c>
      <c r="P73" s="166" t="str">
        <f t="shared" si="29"/>
        <v>nie dotyczy</v>
      </c>
      <c r="Q73" s="166" t="str">
        <f t="shared" si="29"/>
        <v>nie dotyczy</v>
      </c>
      <c r="R73" s="166" t="str">
        <f t="shared" si="29"/>
        <v>nie dotyczy</v>
      </c>
      <c r="S73" s="166" t="str">
        <f t="shared" si="29"/>
        <v>nie dotyczy</v>
      </c>
      <c r="T73" s="166" t="str">
        <f t="shared" si="29"/>
        <v>nie dotyczy</v>
      </c>
      <c r="U73" s="166" t="str">
        <f t="shared" si="29"/>
        <v>nie dotyczy</v>
      </c>
      <c r="V73" s="166" t="str">
        <f t="shared" si="29"/>
        <v>nie dotyczy</v>
      </c>
      <c r="W73" s="166" t="str">
        <f t="shared" si="29"/>
        <v>nie dotyczy</v>
      </c>
      <c r="X73" s="166" t="str">
        <f t="shared" si="29"/>
        <v>nie dotyczy</v>
      </c>
      <c r="Y73" s="166" t="str">
        <f t="shared" si="29"/>
        <v>nie dotyczy</v>
      </c>
      <c r="Z73" s="166" t="str">
        <f t="shared" si="29"/>
        <v>nie dotyczy</v>
      </c>
      <c r="AA73" s="166" t="str">
        <f t="shared" si="29"/>
        <v>nie dotyczy</v>
      </c>
      <c r="AB73" s="166" t="str">
        <f t="shared" si="29"/>
        <v>nie dotyczy</v>
      </c>
      <c r="AC73" s="166" t="str">
        <f t="shared" si="29"/>
        <v>nie dotyczy</v>
      </c>
      <c r="AD73" s="166" t="str">
        <f t="shared" si="29"/>
        <v>nie dotyczy</v>
      </c>
      <c r="AE73" s="166" t="str">
        <f t="shared" si="29"/>
        <v>nie dotyczy</v>
      </c>
      <c r="AF73" s="166" t="str">
        <f t="shared" si="29"/>
        <v>nie dotyczy</v>
      </c>
      <c r="AG73" s="166" t="str">
        <f t="shared" si="29"/>
        <v>nie dotyczy</v>
      </c>
      <c r="AH73" s="166" t="str">
        <f t="shared" si="29"/>
        <v>nie dotyczy</v>
      </c>
      <c r="AI73" s="166" t="str">
        <f t="shared" si="29"/>
        <v>nie dotyczy</v>
      </c>
      <c r="AJ73" s="166" t="str">
        <f t="shared" si="29"/>
        <v>nie dotyczy</v>
      </c>
      <c r="AK73" s="166" t="str">
        <f t="shared" si="29"/>
        <v>nie dotyczy</v>
      </c>
      <c r="AL73" s="166" t="str">
        <f t="shared" si="29"/>
        <v>nie dotyczy</v>
      </c>
      <c r="AM73" s="166" t="str">
        <f t="shared" si="29"/>
        <v>nie dotyczy</v>
      </c>
      <c r="AN73" s="166" t="str">
        <f t="shared" si="29"/>
        <v>nie dotyczy</v>
      </c>
      <c r="AO73" s="166" t="str">
        <f t="shared" si="29"/>
        <v>nie dotyczy</v>
      </c>
    </row>
    <row r="74" spans="2:41" ht="22.5">
      <c r="B74" s="167" t="s">
        <v>174</v>
      </c>
      <c r="C74" s="166" t="str">
        <f>IF(C22&lt;=0,IF(ROUND((+C22+(C27+C29+C31)),4)=0,"OK.",+C22+(C27+C29+C31)),"nie dotyczy")</f>
        <v>OK.</v>
      </c>
      <c r="D74" s="166" t="str">
        <f aca="true" t="shared" si="30" ref="D74:AO74">IF(D22&lt;=0,IF(ROUND((+D22+(D27+D29+D31)),4)=0,"OK.",+D22+(D27+D29+D31)),"nie dotyczy")</f>
        <v>nie dotyczy</v>
      </c>
      <c r="E74" s="166" t="str">
        <f t="shared" si="30"/>
        <v>nie dotyczy</v>
      </c>
      <c r="F74" s="166" t="str">
        <f t="shared" si="30"/>
        <v>nie dotyczy</v>
      </c>
      <c r="G74" s="166" t="str">
        <f t="shared" si="30"/>
        <v>nie dotyczy</v>
      </c>
      <c r="H74" s="166" t="str">
        <f t="shared" si="30"/>
        <v>nie dotyczy</v>
      </c>
      <c r="I74" s="166" t="str">
        <f t="shared" si="30"/>
        <v>nie dotyczy</v>
      </c>
      <c r="J74" s="166" t="str">
        <f t="shared" si="30"/>
        <v>nie dotyczy</v>
      </c>
      <c r="K74" s="166" t="str">
        <f t="shared" si="30"/>
        <v>nie dotyczy</v>
      </c>
      <c r="L74" s="166" t="str">
        <f t="shared" si="30"/>
        <v>nie dotyczy</v>
      </c>
      <c r="M74" s="166" t="str">
        <f t="shared" si="30"/>
        <v>nie dotyczy</v>
      </c>
      <c r="N74" s="166" t="str">
        <f t="shared" si="30"/>
        <v>OK.</v>
      </c>
      <c r="O74" s="166" t="str">
        <f t="shared" si="30"/>
        <v>OK.</v>
      </c>
      <c r="P74" s="166" t="str">
        <f t="shared" si="30"/>
        <v>OK.</v>
      </c>
      <c r="Q74" s="166" t="str">
        <f t="shared" si="30"/>
        <v>OK.</v>
      </c>
      <c r="R74" s="166" t="str">
        <f t="shared" si="30"/>
        <v>OK.</v>
      </c>
      <c r="S74" s="166" t="str">
        <f t="shared" si="30"/>
        <v>OK.</v>
      </c>
      <c r="T74" s="166" t="str">
        <f t="shared" si="30"/>
        <v>OK.</v>
      </c>
      <c r="U74" s="166" t="str">
        <f t="shared" si="30"/>
        <v>OK.</v>
      </c>
      <c r="V74" s="166" t="str">
        <f t="shared" si="30"/>
        <v>OK.</v>
      </c>
      <c r="W74" s="166" t="str">
        <f t="shared" si="30"/>
        <v>OK.</v>
      </c>
      <c r="X74" s="166" t="str">
        <f t="shared" si="30"/>
        <v>OK.</v>
      </c>
      <c r="Y74" s="166" t="str">
        <f t="shared" si="30"/>
        <v>OK.</v>
      </c>
      <c r="Z74" s="166" t="str">
        <f t="shared" si="30"/>
        <v>OK.</v>
      </c>
      <c r="AA74" s="166" t="str">
        <f t="shared" si="30"/>
        <v>OK.</v>
      </c>
      <c r="AB74" s="166" t="str">
        <f t="shared" si="30"/>
        <v>OK.</v>
      </c>
      <c r="AC74" s="166" t="str">
        <f t="shared" si="30"/>
        <v>OK.</v>
      </c>
      <c r="AD74" s="166" t="str">
        <f t="shared" si="30"/>
        <v>OK.</v>
      </c>
      <c r="AE74" s="166" t="str">
        <f t="shared" si="30"/>
        <v>OK.</v>
      </c>
      <c r="AF74" s="166" t="str">
        <f t="shared" si="30"/>
        <v>OK.</v>
      </c>
      <c r="AG74" s="166" t="str">
        <f t="shared" si="30"/>
        <v>OK.</v>
      </c>
      <c r="AH74" s="166" t="str">
        <f t="shared" si="30"/>
        <v>OK.</v>
      </c>
      <c r="AI74" s="166" t="str">
        <f t="shared" si="30"/>
        <v>OK.</v>
      </c>
      <c r="AJ74" s="166" t="str">
        <f t="shared" si="30"/>
        <v>OK.</v>
      </c>
      <c r="AK74" s="166" t="str">
        <f t="shared" si="30"/>
        <v>OK.</v>
      </c>
      <c r="AL74" s="166" t="str">
        <f t="shared" si="30"/>
        <v>OK.</v>
      </c>
      <c r="AM74" s="166" t="str">
        <f t="shared" si="30"/>
        <v>OK.</v>
      </c>
      <c r="AN74" s="166" t="str">
        <f t="shared" si="30"/>
        <v>OK.</v>
      </c>
      <c r="AO74" s="166" t="str">
        <f t="shared" si="30"/>
        <v>OK.</v>
      </c>
    </row>
    <row r="75" spans="2:41" ht="24">
      <c r="B75" s="168" t="s">
        <v>171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</row>
    <row r="76" spans="2:41" ht="12">
      <c r="B76" s="170" t="s">
        <v>193</v>
      </c>
      <c r="C76" s="169" t="str">
        <f>+IF(C26&lt;C27,"Brak pokrycia","OK.")</f>
        <v>OK.</v>
      </c>
      <c r="D76" s="169" t="str">
        <f aca="true" t="shared" si="31" ref="D76:AO76">+IF(D26&lt;D27,"Brak pokrycia","OK.")</f>
        <v>OK.</v>
      </c>
      <c r="E76" s="169" t="str">
        <f t="shared" si="31"/>
        <v>OK.</v>
      </c>
      <c r="F76" s="169" t="str">
        <f t="shared" si="31"/>
        <v>OK.</v>
      </c>
      <c r="G76" s="169" t="str">
        <f t="shared" si="31"/>
        <v>OK.</v>
      </c>
      <c r="H76" s="169" t="str">
        <f t="shared" si="31"/>
        <v>OK.</v>
      </c>
      <c r="I76" s="169" t="str">
        <f t="shared" si="31"/>
        <v>OK.</v>
      </c>
      <c r="J76" s="169" t="str">
        <f t="shared" si="31"/>
        <v>OK.</v>
      </c>
      <c r="K76" s="169" t="str">
        <f t="shared" si="31"/>
        <v>OK.</v>
      </c>
      <c r="L76" s="169" t="str">
        <f t="shared" si="31"/>
        <v>OK.</v>
      </c>
      <c r="M76" s="169" t="str">
        <f t="shared" si="31"/>
        <v>OK.</v>
      </c>
      <c r="N76" s="169" t="str">
        <f t="shared" si="31"/>
        <v>OK.</v>
      </c>
      <c r="O76" s="169" t="str">
        <f t="shared" si="31"/>
        <v>OK.</v>
      </c>
      <c r="P76" s="169" t="str">
        <f t="shared" si="31"/>
        <v>OK.</v>
      </c>
      <c r="Q76" s="169" t="str">
        <f t="shared" si="31"/>
        <v>OK.</v>
      </c>
      <c r="R76" s="169" t="str">
        <f t="shared" si="31"/>
        <v>OK.</v>
      </c>
      <c r="S76" s="169" t="str">
        <f t="shared" si="31"/>
        <v>OK.</v>
      </c>
      <c r="T76" s="169" t="str">
        <f t="shared" si="31"/>
        <v>OK.</v>
      </c>
      <c r="U76" s="169" t="str">
        <f t="shared" si="31"/>
        <v>OK.</v>
      </c>
      <c r="V76" s="169" t="str">
        <f t="shared" si="31"/>
        <v>OK.</v>
      </c>
      <c r="W76" s="169" t="str">
        <f t="shared" si="31"/>
        <v>OK.</v>
      </c>
      <c r="X76" s="169" t="str">
        <f t="shared" si="31"/>
        <v>OK.</v>
      </c>
      <c r="Y76" s="169" t="str">
        <f t="shared" si="31"/>
        <v>OK.</v>
      </c>
      <c r="Z76" s="169" t="str">
        <f t="shared" si="31"/>
        <v>OK.</v>
      </c>
      <c r="AA76" s="169" t="str">
        <f t="shared" si="31"/>
        <v>OK.</v>
      </c>
      <c r="AB76" s="169" t="str">
        <f t="shared" si="31"/>
        <v>OK.</v>
      </c>
      <c r="AC76" s="169" t="str">
        <f t="shared" si="31"/>
        <v>OK.</v>
      </c>
      <c r="AD76" s="169" t="str">
        <f t="shared" si="31"/>
        <v>OK.</v>
      </c>
      <c r="AE76" s="169" t="str">
        <f t="shared" si="31"/>
        <v>OK.</v>
      </c>
      <c r="AF76" s="169" t="str">
        <f t="shared" si="31"/>
        <v>OK.</v>
      </c>
      <c r="AG76" s="169" t="str">
        <f t="shared" si="31"/>
        <v>OK.</v>
      </c>
      <c r="AH76" s="169" t="str">
        <f t="shared" si="31"/>
        <v>OK.</v>
      </c>
      <c r="AI76" s="169" t="str">
        <f t="shared" si="31"/>
        <v>OK.</v>
      </c>
      <c r="AJ76" s="169" t="str">
        <f t="shared" si="31"/>
        <v>OK.</v>
      </c>
      <c r="AK76" s="169" t="str">
        <f t="shared" si="31"/>
        <v>OK.</v>
      </c>
      <c r="AL76" s="169" t="str">
        <f t="shared" si="31"/>
        <v>OK.</v>
      </c>
      <c r="AM76" s="169" t="str">
        <f t="shared" si="31"/>
        <v>OK.</v>
      </c>
      <c r="AN76" s="169" t="str">
        <f t="shared" si="31"/>
        <v>OK.</v>
      </c>
      <c r="AO76" s="169" t="str">
        <f t="shared" si="31"/>
        <v>OK.</v>
      </c>
    </row>
    <row r="77" spans="2:41" ht="12">
      <c r="B77" s="170" t="s">
        <v>173</v>
      </c>
      <c r="C77" s="169" t="str">
        <f aca="true" t="shared" si="32" ref="C77:AO77">+IF(C28&lt;C29,"Brak pokrycia","OK.")</f>
        <v>OK.</v>
      </c>
      <c r="D77" s="169" t="str">
        <f t="shared" si="32"/>
        <v>OK.</v>
      </c>
      <c r="E77" s="169" t="str">
        <f t="shared" si="32"/>
        <v>OK.</v>
      </c>
      <c r="F77" s="169" t="str">
        <f t="shared" si="32"/>
        <v>OK.</v>
      </c>
      <c r="G77" s="169" t="str">
        <f t="shared" si="32"/>
        <v>OK.</v>
      </c>
      <c r="H77" s="169" t="str">
        <f t="shared" si="32"/>
        <v>OK.</v>
      </c>
      <c r="I77" s="169" t="str">
        <f t="shared" si="32"/>
        <v>OK.</v>
      </c>
      <c r="J77" s="169" t="str">
        <f t="shared" si="32"/>
        <v>OK.</v>
      </c>
      <c r="K77" s="169" t="str">
        <f t="shared" si="32"/>
        <v>OK.</v>
      </c>
      <c r="L77" s="169" t="str">
        <f t="shared" si="32"/>
        <v>OK.</v>
      </c>
      <c r="M77" s="169" t="str">
        <f t="shared" si="32"/>
        <v>OK.</v>
      </c>
      <c r="N77" s="169" t="str">
        <f t="shared" si="32"/>
        <v>OK.</v>
      </c>
      <c r="O77" s="169" t="str">
        <f t="shared" si="32"/>
        <v>OK.</v>
      </c>
      <c r="P77" s="169" t="str">
        <f t="shared" si="32"/>
        <v>OK.</v>
      </c>
      <c r="Q77" s="169" t="str">
        <f t="shared" si="32"/>
        <v>OK.</v>
      </c>
      <c r="R77" s="169" t="str">
        <f t="shared" si="32"/>
        <v>OK.</v>
      </c>
      <c r="S77" s="169" t="str">
        <f t="shared" si="32"/>
        <v>OK.</v>
      </c>
      <c r="T77" s="169" t="str">
        <f t="shared" si="32"/>
        <v>OK.</v>
      </c>
      <c r="U77" s="169" t="str">
        <f t="shared" si="32"/>
        <v>OK.</v>
      </c>
      <c r="V77" s="169" t="str">
        <f t="shared" si="32"/>
        <v>OK.</v>
      </c>
      <c r="W77" s="169" t="str">
        <f t="shared" si="32"/>
        <v>OK.</v>
      </c>
      <c r="X77" s="169" t="str">
        <f t="shared" si="32"/>
        <v>OK.</v>
      </c>
      <c r="Y77" s="169" t="str">
        <f t="shared" si="32"/>
        <v>OK.</v>
      </c>
      <c r="Z77" s="169" t="str">
        <f t="shared" si="32"/>
        <v>OK.</v>
      </c>
      <c r="AA77" s="169" t="str">
        <f t="shared" si="32"/>
        <v>OK.</v>
      </c>
      <c r="AB77" s="169" t="str">
        <f t="shared" si="32"/>
        <v>OK.</v>
      </c>
      <c r="AC77" s="169" t="str">
        <f t="shared" si="32"/>
        <v>OK.</v>
      </c>
      <c r="AD77" s="169" t="str">
        <f t="shared" si="32"/>
        <v>OK.</v>
      </c>
      <c r="AE77" s="169" t="str">
        <f t="shared" si="32"/>
        <v>OK.</v>
      </c>
      <c r="AF77" s="169" t="str">
        <f t="shared" si="32"/>
        <v>OK.</v>
      </c>
      <c r="AG77" s="169" t="str">
        <f t="shared" si="32"/>
        <v>OK.</v>
      </c>
      <c r="AH77" s="169" t="str">
        <f t="shared" si="32"/>
        <v>OK.</v>
      </c>
      <c r="AI77" s="169" t="str">
        <f t="shared" si="32"/>
        <v>OK.</v>
      </c>
      <c r="AJ77" s="169" t="str">
        <f t="shared" si="32"/>
        <v>OK.</v>
      </c>
      <c r="AK77" s="169" t="str">
        <f t="shared" si="32"/>
        <v>OK.</v>
      </c>
      <c r="AL77" s="169" t="str">
        <f t="shared" si="32"/>
        <v>OK.</v>
      </c>
      <c r="AM77" s="169" t="str">
        <f t="shared" si="32"/>
        <v>OK.</v>
      </c>
      <c r="AN77" s="169" t="str">
        <f t="shared" si="32"/>
        <v>OK.</v>
      </c>
      <c r="AO77" s="169" t="str">
        <f t="shared" si="32"/>
        <v>OK.</v>
      </c>
    </row>
    <row r="78" spans="2:41" ht="12">
      <c r="B78" s="170" t="s">
        <v>172</v>
      </c>
      <c r="C78" s="169" t="str">
        <f aca="true" t="shared" si="33" ref="C78:AO78">+IF(C30&lt;C31,"Brak pokrycia","OK.")</f>
        <v>OK.</v>
      </c>
      <c r="D78" s="169" t="str">
        <f t="shared" si="33"/>
        <v>OK.</v>
      </c>
      <c r="E78" s="169" t="str">
        <f t="shared" si="33"/>
        <v>OK.</v>
      </c>
      <c r="F78" s="169" t="str">
        <f t="shared" si="33"/>
        <v>OK.</v>
      </c>
      <c r="G78" s="169" t="str">
        <f t="shared" si="33"/>
        <v>OK.</v>
      </c>
      <c r="H78" s="169" t="str">
        <f t="shared" si="33"/>
        <v>OK.</v>
      </c>
      <c r="I78" s="169" t="str">
        <f t="shared" si="33"/>
        <v>OK.</v>
      </c>
      <c r="J78" s="169" t="str">
        <f t="shared" si="33"/>
        <v>OK.</v>
      </c>
      <c r="K78" s="169" t="str">
        <f t="shared" si="33"/>
        <v>OK.</v>
      </c>
      <c r="L78" s="169" t="str">
        <f t="shared" si="33"/>
        <v>OK.</v>
      </c>
      <c r="M78" s="169" t="str">
        <f t="shared" si="33"/>
        <v>OK.</v>
      </c>
      <c r="N78" s="169" t="str">
        <f t="shared" si="33"/>
        <v>OK.</v>
      </c>
      <c r="O78" s="169" t="str">
        <f t="shared" si="33"/>
        <v>OK.</v>
      </c>
      <c r="P78" s="169" t="str">
        <f t="shared" si="33"/>
        <v>OK.</v>
      </c>
      <c r="Q78" s="169" t="str">
        <f t="shared" si="33"/>
        <v>OK.</v>
      </c>
      <c r="R78" s="169" t="str">
        <f t="shared" si="33"/>
        <v>OK.</v>
      </c>
      <c r="S78" s="169" t="str">
        <f t="shared" si="33"/>
        <v>OK.</v>
      </c>
      <c r="T78" s="169" t="str">
        <f t="shared" si="33"/>
        <v>OK.</v>
      </c>
      <c r="U78" s="169" t="str">
        <f t="shared" si="33"/>
        <v>OK.</v>
      </c>
      <c r="V78" s="169" t="str">
        <f t="shared" si="33"/>
        <v>OK.</v>
      </c>
      <c r="W78" s="169" t="str">
        <f t="shared" si="33"/>
        <v>OK.</v>
      </c>
      <c r="X78" s="169" t="str">
        <f t="shared" si="33"/>
        <v>OK.</v>
      </c>
      <c r="Y78" s="169" t="str">
        <f t="shared" si="33"/>
        <v>OK.</v>
      </c>
      <c r="Z78" s="169" t="str">
        <f t="shared" si="33"/>
        <v>OK.</v>
      </c>
      <c r="AA78" s="169" t="str">
        <f t="shared" si="33"/>
        <v>OK.</v>
      </c>
      <c r="AB78" s="169" t="str">
        <f t="shared" si="33"/>
        <v>OK.</v>
      </c>
      <c r="AC78" s="169" t="str">
        <f t="shared" si="33"/>
        <v>OK.</v>
      </c>
      <c r="AD78" s="169" t="str">
        <f t="shared" si="33"/>
        <v>OK.</v>
      </c>
      <c r="AE78" s="169" t="str">
        <f t="shared" si="33"/>
        <v>OK.</v>
      </c>
      <c r="AF78" s="169" t="str">
        <f t="shared" si="33"/>
        <v>OK.</v>
      </c>
      <c r="AG78" s="169" t="str">
        <f t="shared" si="33"/>
        <v>OK.</v>
      </c>
      <c r="AH78" s="169" t="str">
        <f t="shared" si="33"/>
        <v>OK.</v>
      </c>
      <c r="AI78" s="169" t="str">
        <f t="shared" si="33"/>
        <v>OK.</v>
      </c>
      <c r="AJ78" s="169" t="str">
        <f t="shared" si="33"/>
        <v>OK.</v>
      </c>
      <c r="AK78" s="169" t="str">
        <f t="shared" si="33"/>
        <v>OK.</v>
      </c>
      <c r="AL78" s="169" t="str">
        <f t="shared" si="33"/>
        <v>OK.</v>
      </c>
      <c r="AM78" s="169" t="str">
        <f t="shared" si="33"/>
        <v>OK.</v>
      </c>
      <c r="AN78" s="169" t="str">
        <f t="shared" si="33"/>
        <v>OK.</v>
      </c>
      <c r="AO78" s="169" t="str">
        <f t="shared" si="33"/>
        <v>OK.</v>
      </c>
    </row>
    <row r="79" spans="2:41" ht="12">
      <c r="B79" s="171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</row>
    <row r="80" spans="2:41" ht="22.5">
      <c r="B80" s="173" t="s">
        <v>227</v>
      </c>
      <c r="C80" s="166" t="str">
        <f>+IF(AND(C19=0,C18&gt;0),"Błąd","OK.")</f>
        <v>OK.</v>
      </c>
      <c r="D80" s="166" t="str">
        <f aca="true" t="shared" si="34" ref="D80:AO80">+IF(AND(D19=0,D18&gt;0),"Błąd","OK.")</f>
        <v>OK.</v>
      </c>
      <c r="E80" s="166" t="str">
        <f t="shared" si="34"/>
        <v>OK.</v>
      </c>
      <c r="F80" s="166" t="str">
        <f t="shared" si="34"/>
        <v>OK.</v>
      </c>
      <c r="G80" s="166" t="str">
        <f t="shared" si="34"/>
        <v>OK.</v>
      </c>
      <c r="H80" s="166" t="str">
        <f t="shared" si="34"/>
        <v>OK.</v>
      </c>
      <c r="I80" s="166" t="str">
        <f t="shared" si="34"/>
        <v>OK.</v>
      </c>
      <c r="J80" s="166" t="str">
        <f t="shared" si="34"/>
        <v>OK.</v>
      </c>
      <c r="K80" s="166" t="str">
        <f t="shared" si="34"/>
        <v>OK.</v>
      </c>
      <c r="L80" s="166" t="str">
        <f t="shared" si="34"/>
        <v>OK.</v>
      </c>
      <c r="M80" s="166" t="str">
        <f t="shared" si="34"/>
        <v>OK.</v>
      </c>
      <c r="N80" s="166" t="str">
        <f t="shared" si="34"/>
        <v>OK.</v>
      </c>
      <c r="O80" s="166" t="str">
        <f t="shared" si="34"/>
        <v>OK.</v>
      </c>
      <c r="P80" s="166" t="str">
        <f t="shared" si="34"/>
        <v>OK.</v>
      </c>
      <c r="Q80" s="166" t="str">
        <f t="shared" si="34"/>
        <v>OK.</v>
      </c>
      <c r="R80" s="166" t="str">
        <f t="shared" si="34"/>
        <v>OK.</v>
      </c>
      <c r="S80" s="166" t="str">
        <f t="shared" si="34"/>
        <v>OK.</v>
      </c>
      <c r="T80" s="166" t="str">
        <f t="shared" si="34"/>
        <v>OK.</v>
      </c>
      <c r="U80" s="166" t="str">
        <f t="shared" si="34"/>
        <v>OK.</v>
      </c>
      <c r="V80" s="166" t="str">
        <f t="shared" si="34"/>
        <v>OK.</v>
      </c>
      <c r="W80" s="166" t="str">
        <f t="shared" si="34"/>
        <v>OK.</v>
      </c>
      <c r="X80" s="166" t="str">
        <f t="shared" si="34"/>
        <v>OK.</v>
      </c>
      <c r="Y80" s="166" t="str">
        <f t="shared" si="34"/>
        <v>OK.</v>
      </c>
      <c r="Z80" s="166" t="str">
        <f t="shared" si="34"/>
        <v>OK.</v>
      </c>
      <c r="AA80" s="166" t="str">
        <f t="shared" si="34"/>
        <v>OK.</v>
      </c>
      <c r="AB80" s="166" t="str">
        <f t="shared" si="34"/>
        <v>OK.</v>
      </c>
      <c r="AC80" s="166" t="str">
        <f t="shared" si="34"/>
        <v>OK.</v>
      </c>
      <c r="AD80" s="166" t="str">
        <f t="shared" si="34"/>
        <v>OK.</v>
      </c>
      <c r="AE80" s="166" t="str">
        <f t="shared" si="34"/>
        <v>OK.</v>
      </c>
      <c r="AF80" s="166" t="str">
        <f t="shared" si="34"/>
        <v>OK.</v>
      </c>
      <c r="AG80" s="166" t="str">
        <f t="shared" si="34"/>
        <v>OK.</v>
      </c>
      <c r="AH80" s="166" t="str">
        <f t="shared" si="34"/>
        <v>OK.</v>
      </c>
      <c r="AI80" s="166" t="str">
        <f t="shared" si="34"/>
        <v>OK.</v>
      </c>
      <c r="AJ80" s="166" t="str">
        <f t="shared" si="34"/>
        <v>OK.</v>
      </c>
      <c r="AK80" s="166" t="str">
        <f t="shared" si="34"/>
        <v>OK.</v>
      </c>
      <c r="AL80" s="166" t="str">
        <f t="shared" si="34"/>
        <v>OK.</v>
      </c>
      <c r="AM80" s="166" t="str">
        <f t="shared" si="34"/>
        <v>OK.</v>
      </c>
      <c r="AN80" s="166" t="str">
        <f t="shared" si="34"/>
        <v>OK.</v>
      </c>
      <c r="AO80" s="166" t="str">
        <f t="shared" si="34"/>
        <v>OK.</v>
      </c>
    </row>
    <row r="81" spans="2:41" ht="22.5">
      <c r="B81" s="167" t="s">
        <v>175</v>
      </c>
      <c r="C81" s="172" t="s">
        <v>169</v>
      </c>
      <c r="D81" s="166" t="str">
        <f aca="true" t="shared" si="35" ref="D81:AO81">+IF(ROUND(C36+D28-D33-D36,4)=0,"OK.",ROUND(D36-(C36+D28-D33),4))</f>
        <v>OK.</v>
      </c>
      <c r="E81" s="166" t="str">
        <f t="shared" si="35"/>
        <v>OK.</v>
      </c>
      <c r="F81" s="166" t="str">
        <f t="shared" si="35"/>
        <v>OK.</v>
      </c>
      <c r="G81" s="166" t="str">
        <f t="shared" si="35"/>
        <v>OK.</v>
      </c>
      <c r="H81" s="166" t="str">
        <f t="shared" si="35"/>
        <v>OK.</v>
      </c>
      <c r="I81" s="166" t="str">
        <f t="shared" si="35"/>
        <v>OK.</v>
      </c>
      <c r="J81" s="166" t="str">
        <f t="shared" si="35"/>
        <v>OK.</v>
      </c>
      <c r="K81" s="166" t="str">
        <f t="shared" si="35"/>
        <v>OK.</v>
      </c>
      <c r="L81" s="166" t="str">
        <f t="shared" si="35"/>
        <v>OK.</v>
      </c>
      <c r="M81" s="166" t="str">
        <f t="shared" si="35"/>
        <v>OK.</v>
      </c>
      <c r="N81" s="166" t="str">
        <f t="shared" si="35"/>
        <v>OK.</v>
      </c>
      <c r="O81" s="166" t="str">
        <f t="shared" si="35"/>
        <v>OK.</v>
      </c>
      <c r="P81" s="166" t="str">
        <f t="shared" si="35"/>
        <v>OK.</v>
      </c>
      <c r="Q81" s="166" t="str">
        <f t="shared" si="35"/>
        <v>OK.</v>
      </c>
      <c r="R81" s="166" t="str">
        <f t="shared" si="35"/>
        <v>OK.</v>
      </c>
      <c r="S81" s="166" t="str">
        <f t="shared" si="35"/>
        <v>OK.</v>
      </c>
      <c r="T81" s="166" t="str">
        <f t="shared" si="35"/>
        <v>OK.</v>
      </c>
      <c r="U81" s="166" t="str">
        <f t="shared" si="35"/>
        <v>OK.</v>
      </c>
      <c r="V81" s="166" t="str">
        <f t="shared" si="35"/>
        <v>OK.</v>
      </c>
      <c r="W81" s="166" t="str">
        <f t="shared" si="35"/>
        <v>OK.</v>
      </c>
      <c r="X81" s="166" t="str">
        <f t="shared" si="35"/>
        <v>OK.</v>
      </c>
      <c r="Y81" s="166" t="str">
        <f t="shared" si="35"/>
        <v>OK.</v>
      </c>
      <c r="Z81" s="166" t="str">
        <f t="shared" si="35"/>
        <v>OK.</v>
      </c>
      <c r="AA81" s="166" t="str">
        <f t="shared" si="35"/>
        <v>OK.</v>
      </c>
      <c r="AB81" s="166" t="str">
        <f t="shared" si="35"/>
        <v>OK.</v>
      </c>
      <c r="AC81" s="166" t="str">
        <f t="shared" si="35"/>
        <v>OK.</v>
      </c>
      <c r="AD81" s="166" t="str">
        <f t="shared" si="35"/>
        <v>OK.</v>
      </c>
      <c r="AE81" s="166" t="str">
        <f t="shared" si="35"/>
        <v>OK.</v>
      </c>
      <c r="AF81" s="166" t="str">
        <f t="shared" si="35"/>
        <v>OK.</v>
      </c>
      <c r="AG81" s="166" t="str">
        <f t="shared" si="35"/>
        <v>OK.</v>
      </c>
      <c r="AH81" s="166" t="str">
        <f t="shared" si="35"/>
        <v>OK.</v>
      </c>
      <c r="AI81" s="166" t="str">
        <f t="shared" si="35"/>
        <v>OK.</v>
      </c>
      <c r="AJ81" s="166" t="str">
        <f t="shared" si="35"/>
        <v>OK.</v>
      </c>
      <c r="AK81" s="166" t="str">
        <f t="shared" si="35"/>
        <v>OK.</v>
      </c>
      <c r="AL81" s="166" t="str">
        <f t="shared" si="35"/>
        <v>OK.</v>
      </c>
      <c r="AM81" s="166" t="str">
        <f t="shared" si="35"/>
        <v>OK.</v>
      </c>
      <c r="AN81" s="166" t="str">
        <f t="shared" si="35"/>
        <v>OK.</v>
      </c>
      <c r="AO81" s="166" t="str">
        <f t="shared" si="35"/>
        <v>OK.</v>
      </c>
    </row>
    <row r="82" spans="2:41" ht="22.5">
      <c r="B82" s="173" t="s">
        <v>182</v>
      </c>
      <c r="C82" s="169" t="str">
        <f>+IF(C36&lt;C38,"Za wysoka","OK.")</f>
        <v>OK.</v>
      </c>
      <c r="D82" s="169" t="str">
        <f aca="true" t="shared" si="36" ref="D82:AO82">+IF(D36&lt;D38,"Za wysoka","OK.")</f>
        <v>OK.</v>
      </c>
      <c r="E82" s="169" t="str">
        <f t="shared" si="36"/>
        <v>OK.</v>
      </c>
      <c r="F82" s="169" t="str">
        <f t="shared" si="36"/>
        <v>OK.</v>
      </c>
      <c r="G82" s="169" t="str">
        <f t="shared" si="36"/>
        <v>OK.</v>
      </c>
      <c r="H82" s="169" t="str">
        <f t="shared" si="36"/>
        <v>OK.</v>
      </c>
      <c r="I82" s="169" t="str">
        <f t="shared" si="36"/>
        <v>OK.</v>
      </c>
      <c r="J82" s="169" t="str">
        <f t="shared" si="36"/>
        <v>OK.</v>
      </c>
      <c r="K82" s="169" t="str">
        <f t="shared" si="36"/>
        <v>OK.</v>
      </c>
      <c r="L82" s="169" t="str">
        <f t="shared" si="36"/>
        <v>OK.</v>
      </c>
      <c r="M82" s="169" t="str">
        <f t="shared" si="36"/>
        <v>OK.</v>
      </c>
      <c r="N82" s="169" t="str">
        <f t="shared" si="36"/>
        <v>OK.</v>
      </c>
      <c r="O82" s="169" t="str">
        <f t="shared" si="36"/>
        <v>OK.</v>
      </c>
      <c r="P82" s="169" t="str">
        <f t="shared" si="36"/>
        <v>OK.</v>
      </c>
      <c r="Q82" s="169" t="str">
        <f t="shared" si="36"/>
        <v>OK.</v>
      </c>
      <c r="R82" s="169" t="str">
        <f t="shared" si="36"/>
        <v>OK.</v>
      </c>
      <c r="S82" s="169" t="str">
        <f t="shared" si="36"/>
        <v>OK.</v>
      </c>
      <c r="T82" s="169" t="str">
        <f t="shared" si="36"/>
        <v>OK.</v>
      </c>
      <c r="U82" s="169" t="str">
        <f t="shared" si="36"/>
        <v>OK.</v>
      </c>
      <c r="V82" s="169" t="str">
        <f t="shared" si="36"/>
        <v>OK.</v>
      </c>
      <c r="W82" s="169" t="str">
        <f t="shared" si="36"/>
        <v>OK.</v>
      </c>
      <c r="X82" s="169" t="str">
        <f t="shared" si="36"/>
        <v>OK.</v>
      </c>
      <c r="Y82" s="169" t="str">
        <f t="shared" si="36"/>
        <v>OK.</v>
      </c>
      <c r="Z82" s="169" t="str">
        <f t="shared" si="36"/>
        <v>OK.</v>
      </c>
      <c r="AA82" s="169" t="str">
        <f t="shared" si="36"/>
        <v>OK.</v>
      </c>
      <c r="AB82" s="169" t="str">
        <f t="shared" si="36"/>
        <v>OK.</v>
      </c>
      <c r="AC82" s="169" t="str">
        <f t="shared" si="36"/>
        <v>OK.</v>
      </c>
      <c r="AD82" s="169" t="str">
        <f t="shared" si="36"/>
        <v>OK.</v>
      </c>
      <c r="AE82" s="169" t="str">
        <f t="shared" si="36"/>
        <v>OK.</v>
      </c>
      <c r="AF82" s="169" t="str">
        <f t="shared" si="36"/>
        <v>OK.</v>
      </c>
      <c r="AG82" s="169" t="str">
        <f t="shared" si="36"/>
        <v>OK.</v>
      </c>
      <c r="AH82" s="169" t="str">
        <f t="shared" si="36"/>
        <v>OK.</v>
      </c>
      <c r="AI82" s="169" t="str">
        <f t="shared" si="36"/>
        <v>OK.</v>
      </c>
      <c r="AJ82" s="169" t="str">
        <f t="shared" si="36"/>
        <v>OK.</v>
      </c>
      <c r="AK82" s="169" t="str">
        <f t="shared" si="36"/>
        <v>OK.</v>
      </c>
      <c r="AL82" s="169" t="str">
        <f t="shared" si="36"/>
        <v>OK.</v>
      </c>
      <c r="AM82" s="169" t="str">
        <f t="shared" si="36"/>
        <v>OK.</v>
      </c>
      <c r="AN82" s="169" t="str">
        <f t="shared" si="36"/>
        <v>OK.</v>
      </c>
      <c r="AO82" s="169" t="str">
        <f t="shared" si="36"/>
        <v>OK.</v>
      </c>
    </row>
    <row r="83" spans="2:41" ht="22.5">
      <c r="B83" s="173" t="s">
        <v>177</v>
      </c>
      <c r="C83" s="166" t="str">
        <f>+IF(C33&lt;C34,"Za wysoka","OK.")</f>
        <v>OK.</v>
      </c>
      <c r="D83" s="166" t="str">
        <f aca="true" t="shared" si="37" ref="D83:AO83">+IF(D33&lt;D34,"Za wysoka","OK.")</f>
        <v>OK.</v>
      </c>
      <c r="E83" s="166" t="str">
        <f t="shared" si="37"/>
        <v>OK.</v>
      </c>
      <c r="F83" s="166" t="str">
        <f t="shared" si="37"/>
        <v>OK.</v>
      </c>
      <c r="G83" s="166" t="str">
        <f t="shared" si="37"/>
        <v>OK.</v>
      </c>
      <c r="H83" s="166" t="str">
        <f t="shared" si="37"/>
        <v>OK.</v>
      </c>
      <c r="I83" s="166" t="str">
        <f t="shared" si="37"/>
        <v>OK.</v>
      </c>
      <c r="J83" s="166" t="str">
        <f t="shared" si="37"/>
        <v>OK.</v>
      </c>
      <c r="K83" s="166" t="str">
        <f t="shared" si="37"/>
        <v>OK.</v>
      </c>
      <c r="L83" s="166" t="str">
        <f t="shared" si="37"/>
        <v>OK.</v>
      </c>
      <c r="M83" s="166" t="str">
        <f t="shared" si="37"/>
        <v>OK.</v>
      </c>
      <c r="N83" s="166" t="str">
        <f t="shared" si="37"/>
        <v>OK.</v>
      </c>
      <c r="O83" s="166" t="str">
        <f t="shared" si="37"/>
        <v>OK.</v>
      </c>
      <c r="P83" s="166" t="str">
        <f t="shared" si="37"/>
        <v>OK.</v>
      </c>
      <c r="Q83" s="166" t="str">
        <f t="shared" si="37"/>
        <v>OK.</v>
      </c>
      <c r="R83" s="166" t="str">
        <f t="shared" si="37"/>
        <v>OK.</v>
      </c>
      <c r="S83" s="166" t="str">
        <f t="shared" si="37"/>
        <v>OK.</v>
      </c>
      <c r="T83" s="166" t="str">
        <f t="shared" si="37"/>
        <v>OK.</v>
      </c>
      <c r="U83" s="166" t="str">
        <f t="shared" si="37"/>
        <v>OK.</v>
      </c>
      <c r="V83" s="166" t="str">
        <f t="shared" si="37"/>
        <v>OK.</v>
      </c>
      <c r="W83" s="166" t="str">
        <f t="shared" si="37"/>
        <v>OK.</v>
      </c>
      <c r="X83" s="166" t="str">
        <f t="shared" si="37"/>
        <v>OK.</v>
      </c>
      <c r="Y83" s="166" t="str">
        <f t="shared" si="37"/>
        <v>OK.</v>
      </c>
      <c r="Z83" s="166" t="str">
        <f t="shared" si="37"/>
        <v>OK.</v>
      </c>
      <c r="AA83" s="166" t="str">
        <f t="shared" si="37"/>
        <v>OK.</v>
      </c>
      <c r="AB83" s="166" t="str">
        <f t="shared" si="37"/>
        <v>OK.</v>
      </c>
      <c r="AC83" s="166" t="str">
        <f t="shared" si="37"/>
        <v>OK.</v>
      </c>
      <c r="AD83" s="166" t="str">
        <f t="shared" si="37"/>
        <v>OK.</v>
      </c>
      <c r="AE83" s="166" t="str">
        <f t="shared" si="37"/>
        <v>OK.</v>
      </c>
      <c r="AF83" s="166" t="str">
        <f t="shared" si="37"/>
        <v>OK.</v>
      </c>
      <c r="AG83" s="166" t="str">
        <f t="shared" si="37"/>
        <v>OK.</v>
      </c>
      <c r="AH83" s="166" t="str">
        <f t="shared" si="37"/>
        <v>OK.</v>
      </c>
      <c r="AI83" s="166" t="str">
        <f t="shared" si="37"/>
        <v>OK.</v>
      </c>
      <c r="AJ83" s="166" t="str">
        <f t="shared" si="37"/>
        <v>OK.</v>
      </c>
      <c r="AK83" s="166" t="str">
        <f t="shared" si="37"/>
        <v>OK.</v>
      </c>
      <c r="AL83" s="166" t="str">
        <f t="shared" si="37"/>
        <v>OK.</v>
      </c>
      <c r="AM83" s="166" t="str">
        <f t="shared" si="37"/>
        <v>OK.</v>
      </c>
      <c r="AN83" s="166" t="str">
        <f t="shared" si="37"/>
        <v>OK.</v>
      </c>
      <c r="AO83" s="166" t="str">
        <f t="shared" si="37"/>
        <v>OK.</v>
      </c>
    </row>
    <row r="84" spans="2:41" ht="22.5">
      <c r="B84" s="173" t="s">
        <v>176</v>
      </c>
      <c r="C84" s="169" t="str">
        <f>+IF(C16&lt;C17,"Za wysoka","OK.")</f>
        <v>OK.</v>
      </c>
      <c r="D84" s="169" t="str">
        <f aca="true" t="shared" si="38" ref="D84:AO84">+IF(D16&lt;D17,"Za wysoka","OK.")</f>
        <v>OK.</v>
      </c>
      <c r="E84" s="169" t="str">
        <f t="shared" si="38"/>
        <v>OK.</v>
      </c>
      <c r="F84" s="169" t="str">
        <f t="shared" si="38"/>
        <v>OK.</v>
      </c>
      <c r="G84" s="169" t="str">
        <f t="shared" si="38"/>
        <v>OK.</v>
      </c>
      <c r="H84" s="169" t="str">
        <f t="shared" si="38"/>
        <v>OK.</v>
      </c>
      <c r="I84" s="169" t="str">
        <f t="shared" si="38"/>
        <v>OK.</v>
      </c>
      <c r="J84" s="169" t="str">
        <f t="shared" si="38"/>
        <v>OK.</v>
      </c>
      <c r="K84" s="169" t="str">
        <f t="shared" si="38"/>
        <v>OK.</v>
      </c>
      <c r="L84" s="169" t="str">
        <f t="shared" si="38"/>
        <v>OK.</v>
      </c>
      <c r="M84" s="169" t="str">
        <f t="shared" si="38"/>
        <v>OK.</v>
      </c>
      <c r="N84" s="169" t="str">
        <f t="shared" si="38"/>
        <v>OK.</v>
      </c>
      <c r="O84" s="169" t="str">
        <f t="shared" si="38"/>
        <v>OK.</v>
      </c>
      <c r="P84" s="169" t="str">
        <f t="shared" si="38"/>
        <v>OK.</v>
      </c>
      <c r="Q84" s="169" t="str">
        <f t="shared" si="38"/>
        <v>OK.</v>
      </c>
      <c r="R84" s="169" t="str">
        <f t="shared" si="38"/>
        <v>OK.</v>
      </c>
      <c r="S84" s="169" t="str">
        <f t="shared" si="38"/>
        <v>OK.</v>
      </c>
      <c r="T84" s="169" t="str">
        <f t="shared" si="38"/>
        <v>OK.</v>
      </c>
      <c r="U84" s="169" t="str">
        <f t="shared" si="38"/>
        <v>OK.</v>
      </c>
      <c r="V84" s="169" t="str">
        <f t="shared" si="38"/>
        <v>OK.</v>
      </c>
      <c r="W84" s="169" t="str">
        <f t="shared" si="38"/>
        <v>OK.</v>
      </c>
      <c r="X84" s="169" t="str">
        <f t="shared" si="38"/>
        <v>OK.</v>
      </c>
      <c r="Y84" s="169" t="str">
        <f t="shared" si="38"/>
        <v>OK.</v>
      </c>
      <c r="Z84" s="169" t="str">
        <f t="shared" si="38"/>
        <v>OK.</v>
      </c>
      <c r="AA84" s="169" t="str">
        <f t="shared" si="38"/>
        <v>OK.</v>
      </c>
      <c r="AB84" s="169" t="str">
        <f t="shared" si="38"/>
        <v>OK.</v>
      </c>
      <c r="AC84" s="169" t="str">
        <f t="shared" si="38"/>
        <v>OK.</v>
      </c>
      <c r="AD84" s="169" t="str">
        <f t="shared" si="38"/>
        <v>OK.</v>
      </c>
      <c r="AE84" s="169" t="str">
        <f t="shared" si="38"/>
        <v>OK.</v>
      </c>
      <c r="AF84" s="169" t="str">
        <f t="shared" si="38"/>
        <v>OK.</v>
      </c>
      <c r="AG84" s="169" t="str">
        <f t="shared" si="38"/>
        <v>OK.</v>
      </c>
      <c r="AH84" s="169" t="str">
        <f t="shared" si="38"/>
        <v>OK.</v>
      </c>
      <c r="AI84" s="169" t="str">
        <f t="shared" si="38"/>
        <v>OK.</v>
      </c>
      <c r="AJ84" s="169" t="str">
        <f t="shared" si="38"/>
        <v>OK.</v>
      </c>
      <c r="AK84" s="169" t="str">
        <f t="shared" si="38"/>
        <v>OK.</v>
      </c>
      <c r="AL84" s="169" t="str">
        <f t="shared" si="38"/>
        <v>OK.</v>
      </c>
      <c r="AM84" s="169" t="str">
        <f t="shared" si="38"/>
        <v>OK.</v>
      </c>
      <c r="AN84" s="169" t="str">
        <f t="shared" si="38"/>
        <v>OK.</v>
      </c>
      <c r="AO84" s="169" t="str">
        <f t="shared" si="38"/>
        <v>OK.</v>
      </c>
    </row>
    <row r="85" spans="2:41" ht="22.5">
      <c r="B85" s="173" t="s">
        <v>181</v>
      </c>
      <c r="C85" s="169" t="str">
        <f>+IF(C36&lt;C37,"Za wysoka","OK.")</f>
        <v>OK.</v>
      </c>
      <c r="D85" s="169" t="str">
        <f aca="true" t="shared" si="39" ref="D85:AO85">+IF(D36&lt;D37,"Za wysoka","OK.")</f>
        <v>OK.</v>
      </c>
      <c r="E85" s="169" t="str">
        <f t="shared" si="39"/>
        <v>OK.</v>
      </c>
      <c r="F85" s="169" t="str">
        <f t="shared" si="39"/>
        <v>OK.</v>
      </c>
      <c r="G85" s="169" t="str">
        <f t="shared" si="39"/>
        <v>OK.</v>
      </c>
      <c r="H85" s="169" t="str">
        <f t="shared" si="39"/>
        <v>OK.</v>
      </c>
      <c r="I85" s="169" t="str">
        <f t="shared" si="39"/>
        <v>OK.</v>
      </c>
      <c r="J85" s="169" t="str">
        <f t="shared" si="39"/>
        <v>OK.</v>
      </c>
      <c r="K85" s="169" t="str">
        <f t="shared" si="39"/>
        <v>OK.</v>
      </c>
      <c r="L85" s="169" t="str">
        <f t="shared" si="39"/>
        <v>OK.</v>
      </c>
      <c r="M85" s="169" t="str">
        <f t="shared" si="39"/>
        <v>OK.</v>
      </c>
      <c r="N85" s="169" t="str">
        <f t="shared" si="39"/>
        <v>OK.</v>
      </c>
      <c r="O85" s="169" t="str">
        <f t="shared" si="39"/>
        <v>OK.</v>
      </c>
      <c r="P85" s="169" t="str">
        <f t="shared" si="39"/>
        <v>OK.</v>
      </c>
      <c r="Q85" s="169" t="str">
        <f t="shared" si="39"/>
        <v>OK.</v>
      </c>
      <c r="R85" s="169" t="str">
        <f t="shared" si="39"/>
        <v>OK.</v>
      </c>
      <c r="S85" s="169" t="str">
        <f t="shared" si="39"/>
        <v>OK.</v>
      </c>
      <c r="T85" s="169" t="str">
        <f t="shared" si="39"/>
        <v>OK.</v>
      </c>
      <c r="U85" s="169" t="str">
        <f t="shared" si="39"/>
        <v>OK.</v>
      </c>
      <c r="V85" s="169" t="str">
        <f t="shared" si="39"/>
        <v>OK.</v>
      </c>
      <c r="W85" s="169" t="str">
        <f t="shared" si="39"/>
        <v>OK.</v>
      </c>
      <c r="X85" s="169" t="str">
        <f t="shared" si="39"/>
        <v>OK.</v>
      </c>
      <c r="Y85" s="169" t="str">
        <f t="shared" si="39"/>
        <v>OK.</v>
      </c>
      <c r="Z85" s="169" t="str">
        <f t="shared" si="39"/>
        <v>OK.</v>
      </c>
      <c r="AA85" s="169" t="str">
        <f t="shared" si="39"/>
        <v>OK.</v>
      </c>
      <c r="AB85" s="169" t="str">
        <f t="shared" si="39"/>
        <v>OK.</v>
      </c>
      <c r="AC85" s="169" t="str">
        <f t="shared" si="39"/>
        <v>OK.</v>
      </c>
      <c r="AD85" s="169" t="str">
        <f t="shared" si="39"/>
        <v>OK.</v>
      </c>
      <c r="AE85" s="169" t="str">
        <f t="shared" si="39"/>
        <v>OK.</v>
      </c>
      <c r="AF85" s="169" t="str">
        <f t="shared" si="39"/>
        <v>OK.</v>
      </c>
      <c r="AG85" s="169" t="str">
        <f t="shared" si="39"/>
        <v>OK.</v>
      </c>
      <c r="AH85" s="169" t="str">
        <f t="shared" si="39"/>
        <v>OK.</v>
      </c>
      <c r="AI85" s="169" t="str">
        <f t="shared" si="39"/>
        <v>OK.</v>
      </c>
      <c r="AJ85" s="169" t="str">
        <f t="shared" si="39"/>
        <v>OK.</v>
      </c>
      <c r="AK85" s="169" t="str">
        <f t="shared" si="39"/>
        <v>OK.</v>
      </c>
      <c r="AL85" s="169" t="str">
        <f t="shared" si="39"/>
        <v>OK.</v>
      </c>
      <c r="AM85" s="169" t="str">
        <f t="shared" si="39"/>
        <v>OK.</v>
      </c>
      <c r="AN85" s="169" t="str">
        <f t="shared" si="39"/>
        <v>OK.</v>
      </c>
      <c r="AO85" s="169" t="str">
        <f t="shared" si="39"/>
        <v>OK.</v>
      </c>
    </row>
    <row r="86" spans="2:41" ht="22.5">
      <c r="B86" s="173" t="s">
        <v>187</v>
      </c>
      <c r="C86" s="169" t="str">
        <f>+IF(C36&lt;C56,"Za wysoka","OK.")</f>
        <v>OK.</v>
      </c>
      <c r="D86" s="169" t="str">
        <f aca="true" t="shared" si="40" ref="D86:AO86">+IF(D36&lt;D56,"Za wysoka","OK.")</f>
        <v>OK.</v>
      </c>
      <c r="E86" s="169" t="str">
        <f t="shared" si="40"/>
        <v>OK.</v>
      </c>
      <c r="F86" s="169" t="str">
        <f t="shared" si="40"/>
        <v>OK.</v>
      </c>
      <c r="G86" s="169" t="str">
        <f t="shared" si="40"/>
        <v>OK.</v>
      </c>
      <c r="H86" s="169" t="str">
        <f t="shared" si="40"/>
        <v>OK.</v>
      </c>
      <c r="I86" s="169" t="str">
        <f t="shared" si="40"/>
        <v>OK.</v>
      </c>
      <c r="J86" s="169" t="str">
        <f t="shared" si="40"/>
        <v>OK.</v>
      </c>
      <c r="K86" s="169" t="str">
        <f t="shared" si="40"/>
        <v>OK.</v>
      </c>
      <c r="L86" s="169" t="str">
        <f t="shared" si="40"/>
        <v>OK.</v>
      </c>
      <c r="M86" s="169" t="str">
        <f t="shared" si="40"/>
        <v>OK.</v>
      </c>
      <c r="N86" s="169" t="str">
        <f t="shared" si="40"/>
        <v>OK.</v>
      </c>
      <c r="O86" s="169" t="str">
        <f t="shared" si="40"/>
        <v>OK.</v>
      </c>
      <c r="P86" s="169" t="str">
        <f t="shared" si="40"/>
        <v>OK.</v>
      </c>
      <c r="Q86" s="169" t="str">
        <f t="shared" si="40"/>
        <v>OK.</v>
      </c>
      <c r="R86" s="169" t="str">
        <f t="shared" si="40"/>
        <v>OK.</v>
      </c>
      <c r="S86" s="169" t="str">
        <f t="shared" si="40"/>
        <v>OK.</v>
      </c>
      <c r="T86" s="169" t="str">
        <f t="shared" si="40"/>
        <v>OK.</v>
      </c>
      <c r="U86" s="169" t="str">
        <f t="shared" si="40"/>
        <v>OK.</v>
      </c>
      <c r="V86" s="169" t="str">
        <f t="shared" si="40"/>
        <v>OK.</v>
      </c>
      <c r="W86" s="169" t="str">
        <f t="shared" si="40"/>
        <v>OK.</v>
      </c>
      <c r="X86" s="169" t="str">
        <f t="shared" si="40"/>
        <v>OK.</v>
      </c>
      <c r="Y86" s="169" t="str">
        <f t="shared" si="40"/>
        <v>OK.</v>
      </c>
      <c r="Z86" s="169" t="str">
        <f t="shared" si="40"/>
        <v>OK.</v>
      </c>
      <c r="AA86" s="169" t="str">
        <f t="shared" si="40"/>
        <v>OK.</v>
      </c>
      <c r="AB86" s="169" t="str">
        <f t="shared" si="40"/>
        <v>OK.</v>
      </c>
      <c r="AC86" s="169" t="str">
        <f t="shared" si="40"/>
        <v>OK.</v>
      </c>
      <c r="AD86" s="169" t="str">
        <f t="shared" si="40"/>
        <v>OK.</v>
      </c>
      <c r="AE86" s="169" t="str">
        <f t="shared" si="40"/>
        <v>OK.</v>
      </c>
      <c r="AF86" s="169" t="str">
        <f t="shared" si="40"/>
        <v>OK.</v>
      </c>
      <c r="AG86" s="169" t="str">
        <f t="shared" si="40"/>
        <v>OK.</v>
      </c>
      <c r="AH86" s="169" t="str">
        <f t="shared" si="40"/>
        <v>OK.</v>
      </c>
      <c r="AI86" s="169" t="str">
        <f t="shared" si="40"/>
        <v>OK.</v>
      </c>
      <c r="AJ86" s="169" t="str">
        <f t="shared" si="40"/>
        <v>OK.</v>
      </c>
      <c r="AK86" s="169" t="str">
        <f t="shared" si="40"/>
        <v>OK.</v>
      </c>
      <c r="AL86" s="169" t="str">
        <f t="shared" si="40"/>
        <v>OK.</v>
      </c>
      <c r="AM86" s="169" t="str">
        <f t="shared" si="40"/>
        <v>OK.</v>
      </c>
      <c r="AN86" s="169" t="str">
        <f t="shared" si="40"/>
        <v>OK.</v>
      </c>
      <c r="AO86" s="169" t="str">
        <f t="shared" si="40"/>
        <v>OK.</v>
      </c>
    </row>
    <row r="87" spans="2:41" ht="22.5">
      <c r="B87" s="173" t="s">
        <v>188</v>
      </c>
      <c r="C87" s="169" t="str">
        <f>+IF(C56&lt;C57,"Za wysoka","OK.")</f>
        <v>OK.</v>
      </c>
      <c r="D87" s="169" t="str">
        <f aca="true" t="shared" si="41" ref="D87:AO87">+IF(D56&lt;D57,"Za wysoka","OK.")</f>
        <v>OK.</v>
      </c>
      <c r="E87" s="169" t="str">
        <f t="shared" si="41"/>
        <v>OK.</v>
      </c>
      <c r="F87" s="169" t="str">
        <f t="shared" si="41"/>
        <v>OK.</v>
      </c>
      <c r="G87" s="169" t="str">
        <f t="shared" si="41"/>
        <v>OK.</v>
      </c>
      <c r="H87" s="169" t="str">
        <f t="shared" si="41"/>
        <v>OK.</v>
      </c>
      <c r="I87" s="169" t="str">
        <f t="shared" si="41"/>
        <v>OK.</v>
      </c>
      <c r="J87" s="169" t="str">
        <f t="shared" si="41"/>
        <v>OK.</v>
      </c>
      <c r="K87" s="169" t="str">
        <f t="shared" si="41"/>
        <v>OK.</v>
      </c>
      <c r="L87" s="169" t="str">
        <f t="shared" si="41"/>
        <v>OK.</v>
      </c>
      <c r="M87" s="169" t="str">
        <f t="shared" si="41"/>
        <v>OK.</v>
      </c>
      <c r="N87" s="169" t="str">
        <f t="shared" si="41"/>
        <v>OK.</v>
      </c>
      <c r="O87" s="169" t="str">
        <f t="shared" si="41"/>
        <v>OK.</v>
      </c>
      <c r="P87" s="169" t="str">
        <f t="shared" si="41"/>
        <v>OK.</v>
      </c>
      <c r="Q87" s="169" t="str">
        <f t="shared" si="41"/>
        <v>OK.</v>
      </c>
      <c r="R87" s="169" t="str">
        <f t="shared" si="41"/>
        <v>OK.</v>
      </c>
      <c r="S87" s="169" t="str">
        <f t="shared" si="41"/>
        <v>OK.</v>
      </c>
      <c r="T87" s="169" t="str">
        <f t="shared" si="41"/>
        <v>OK.</v>
      </c>
      <c r="U87" s="169" t="str">
        <f t="shared" si="41"/>
        <v>OK.</v>
      </c>
      <c r="V87" s="169" t="str">
        <f t="shared" si="41"/>
        <v>OK.</v>
      </c>
      <c r="W87" s="169" t="str">
        <f t="shared" si="41"/>
        <v>OK.</v>
      </c>
      <c r="X87" s="169" t="str">
        <f t="shared" si="41"/>
        <v>OK.</v>
      </c>
      <c r="Y87" s="169" t="str">
        <f t="shared" si="41"/>
        <v>OK.</v>
      </c>
      <c r="Z87" s="169" t="str">
        <f t="shared" si="41"/>
        <v>OK.</v>
      </c>
      <c r="AA87" s="169" t="str">
        <f t="shared" si="41"/>
        <v>OK.</v>
      </c>
      <c r="AB87" s="169" t="str">
        <f t="shared" si="41"/>
        <v>OK.</v>
      </c>
      <c r="AC87" s="169" t="str">
        <f t="shared" si="41"/>
        <v>OK.</v>
      </c>
      <c r="AD87" s="169" t="str">
        <f t="shared" si="41"/>
        <v>OK.</v>
      </c>
      <c r="AE87" s="169" t="str">
        <f t="shared" si="41"/>
        <v>OK.</v>
      </c>
      <c r="AF87" s="169" t="str">
        <f t="shared" si="41"/>
        <v>OK.</v>
      </c>
      <c r="AG87" s="169" t="str">
        <f t="shared" si="41"/>
        <v>OK.</v>
      </c>
      <c r="AH87" s="169" t="str">
        <f t="shared" si="41"/>
        <v>OK.</v>
      </c>
      <c r="AI87" s="169" t="str">
        <f t="shared" si="41"/>
        <v>OK.</v>
      </c>
      <c r="AJ87" s="169" t="str">
        <f t="shared" si="41"/>
        <v>OK.</v>
      </c>
      <c r="AK87" s="169" t="str">
        <f t="shared" si="41"/>
        <v>OK.</v>
      </c>
      <c r="AL87" s="169" t="str">
        <f t="shared" si="41"/>
        <v>OK.</v>
      </c>
      <c r="AM87" s="169" t="str">
        <f t="shared" si="41"/>
        <v>OK.</v>
      </c>
      <c r="AN87" s="169" t="str">
        <f t="shared" si="41"/>
        <v>OK.</v>
      </c>
      <c r="AO87" s="169" t="str">
        <f t="shared" si="41"/>
        <v>OK.</v>
      </c>
    </row>
    <row r="88" spans="2:41" ht="12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</row>
    <row r="89" spans="2:41" ht="22.5">
      <c r="B89" s="173" t="s">
        <v>178</v>
      </c>
      <c r="C89" s="169" t="str">
        <f>+IF(ROUND((C14-(C15+C16+C18)),4)&gt;=0,"OK.","Błąd")</f>
        <v>OK.</v>
      </c>
      <c r="D89" s="169" t="str">
        <f aca="true" t="shared" si="42" ref="D89:AO89">+IF(ROUND((D14-(D15+D16+D18)),4)&gt;=0,"OK.","Błąd")</f>
        <v>OK.</v>
      </c>
      <c r="E89" s="169" t="str">
        <f t="shared" si="42"/>
        <v>OK.</v>
      </c>
      <c r="F89" s="169" t="str">
        <f t="shared" si="42"/>
        <v>OK.</v>
      </c>
      <c r="G89" s="169" t="str">
        <f t="shared" si="42"/>
        <v>OK.</v>
      </c>
      <c r="H89" s="169" t="str">
        <f t="shared" si="42"/>
        <v>OK.</v>
      </c>
      <c r="I89" s="169" t="str">
        <f t="shared" si="42"/>
        <v>OK.</v>
      </c>
      <c r="J89" s="169" t="str">
        <f t="shared" si="42"/>
        <v>OK.</v>
      </c>
      <c r="K89" s="169" t="str">
        <f t="shared" si="42"/>
        <v>OK.</v>
      </c>
      <c r="L89" s="169" t="str">
        <f t="shared" si="42"/>
        <v>OK.</v>
      </c>
      <c r="M89" s="169" t="str">
        <f t="shared" si="42"/>
        <v>OK.</v>
      </c>
      <c r="N89" s="169" t="str">
        <f t="shared" si="42"/>
        <v>OK.</v>
      </c>
      <c r="O89" s="169" t="str">
        <f t="shared" si="42"/>
        <v>OK.</v>
      </c>
      <c r="P89" s="169" t="str">
        <f t="shared" si="42"/>
        <v>OK.</v>
      </c>
      <c r="Q89" s="169" t="str">
        <f t="shared" si="42"/>
        <v>OK.</v>
      </c>
      <c r="R89" s="169" t="str">
        <f t="shared" si="42"/>
        <v>OK.</v>
      </c>
      <c r="S89" s="169" t="str">
        <f t="shared" si="42"/>
        <v>OK.</v>
      </c>
      <c r="T89" s="169" t="str">
        <f t="shared" si="42"/>
        <v>OK.</v>
      </c>
      <c r="U89" s="169" t="str">
        <f t="shared" si="42"/>
        <v>OK.</v>
      </c>
      <c r="V89" s="169" t="str">
        <f t="shared" si="42"/>
        <v>OK.</v>
      </c>
      <c r="W89" s="169" t="str">
        <f t="shared" si="42"/>
        <v>OK.</v>
      </c>
      <c r="X89" s="169" t="str">
        <f t="shared" si="42"/>
        <v>OK.</v>
      </c>
      <c r="Y89" s="169" t="str">
        <f t="shared" si="42"/>
        <v>OK.</v>
      </c>
      <c r="Z89" s="169" t="str">
        <f t="shared" si="42"/>
        <v>OK.</v>
      </c>
      <c r="AA89" s="169" t="str">
        <f t="shared" si="42"/>
        <v>OK.</v>
      </c>
      <c r="AB89" s="169" t="str">
        <f t="shared" si="42"/>
        <v>OK.</v>
      </c>
      <c r="AC89" s="169" t="str">
        <f t="shared" si="42"/>
        <v>OK.</v>
      </c>
      <c r="AD89" s="169" t="str">
        <f t="shared" si="42"/>
        <v>OK.</v>
      </c>
      <c r="AE89" s="169" t="str">
        <f t="shared" si="42"/>
        <v>OK.</v>
      </c>
      <c r="AF89" s="169" t="str">
        <f t="shared" si="42"/>
        <v>OK.</v>
      </c>
      <c r="AG89" s="169" t="str">
        <f t="shared" si="42"/>
        <v>OK.</v>
      </c>
      <c r="AH89" s="169" t="str">
        <f t="shared" si="42"/>
        <v>OK.</v>
      </c>
      <c r="AI89" s="169" t="str">
        <f t="shared" si="42"/>
        <v>OK.</v>
      </c>
      <c r="AJ89" s="169" t="str">
        <f t="shared" si="42"/>
        <v>OK.</v>
      </c>
      <c r="AK89" s="169" t="str">
        <f t="shared" si="42"/>
        <v>OK.</v>
      </c>
      <c r="AL89" s="169" t="str">
        <f t="shared" si="42"/>
        <v>OK.</v>
      </c>
      <c r="AM89" s="169" t="str">
        <f t="shared" si="42"/>
        <v>OK.</v>
      </c>
      <c r="AN89" s="169" t="str">
        <f t="shared" si="42"/>
        <v>OK.</v>
      </c>
      <c r="AO89" s="169" t="str">
        <f t="shared" si="42"/>
        <v>OK.</v>
      </c>
    </row>
    <row r="90" spans="2:41" ht="22.5">
      <c r="B90" s="173" t="s">
        <v>179</v>
      </c>
      <c r="C90" s="169" t="str">
        <f>+IF(C18&lt;C19,"Za wysokie","OK.")</f>
        <v>OK.</v>
      </c>
      <c r="D90" s="169" t="str">
        <f aca="true" t="shared" si="43" ref="D90:AO90">+IF(D18&lt;D19,"Za wysokie","OK.")</f>
        <v>OK.</v>
      </c>
      <c r="E90" s="169" t="str">
        <f t="shared" si="43"/>
        <v>OK.</v>
      </c>
      <c r="F90" s="169" t="str">
        <f t="shared" si="43"/>
        <v>OK.</v>
      </c>
      <c r="G90" s="169" t="str">
        <f t="shared" si="43"/>
        <v>OK.</v>
      </c>
      <c r="H90" s="169" t="str">
        <f t="shared" si="43"/>
        <v>OK.</v>
      </c>
      <c r="I90" s="169" t="str">
        <f t="shared" si="43"/>
        <v>OK.</v>
      </c>
      <c r="J90" s="169" t="str">
        <f t="shared" si="43"/>
        <v>OK.</v>
      </c>
      <c r="K90" s="169" t="str">
        <f t="shared" si="43"/>
        <v>OK.</v>
      </c>
      <c r="L90" s="169" t="str">
        <f t="shared" si="43"/>
        <v>OK.</v>
      </c>
      <c r="M90" s="169" t="str">
        <f t="shared" si="43"/>
        <v>OK.</v>
      </c>
      <c r="N90" s="169" t="str">
        <f t="shared" si="43"/>
        <v>OK.</v>
      </c>
      <c r="O90" s="169" t="str">
        <f t="shared" si="43"/>
        <v>OK.</v>
      </c>
      <c r="P90" s="169" t="str">
        <f t="shared" si="43"/>
        <v>OK.</v>
      </c>
      <c r="Q90" s="169" t="str">
        <f t="shared" si="43"/>
        <v>OK.</v>
      </c>
      <c r="R90" s="169" t="str">
        <f t="shared" si="43"/>
        <v>OK.</v>
      </c>
      <c r="S90" s="169" t="str">
        <f t="shared" si="43"/>
        <v>OK.</v>
      </c>
      <c r="T90" s="169" t="str">
        <f t="shared" si="43"/>
        <v>OK.</v>
      </c>
      <c r="U90" s="169" t="str">
        <f t="shared" si="43"/>
        <v>OK.</v>
      </c>
      <c r="V90" s="169" t="str">
        <f t="shared" si="43"/>
        <v>OK.</v>
      </c>
      <c r="W90" s="169" t="str">
        <f t="shared" si="43"/>
        <v>OK.</v>
      </c>
      <c r="X90" s="169" t="str">
        <f t="shared" si="43"/>
        <v>OK.</v>
      </c>
      <c r="Y90" s="169" t="str">
        <f t="shared" si="43"/>
        <v>OK.</v>
      </c>
      <c r="Z90" s="169" t="str">
        <f t="shared" si="43"/>
        <v>OK.</v>
      </c>
      <c r="AA90" s="169" t="str">
        <f t="shared" si="43"/>
        <v>OK.</v>
      </c>
      <c r="AB90" s="169" t="str">
        <f t="shared" si="43"/>
        <v>OK.</v>
      </c>
      <c r="AC90" s="169" t="str">
        <f t="shared" si="43"/>
        <v>OK.</v>
      </c>
      <c r="AD90" s="169" t="str">
        <f t="shared" si="43"/>
        <v>OK.</v>
      </c>
      <c r="AE90" s="169" t="str">
        <f t="shared" si="43"/>
        <v>OK.</v>
      </c>
      <c r="AF90" s="169" t="str">
        <f t="shared" si="43"/>
        <v>OK.</v>
      </c>
      <c r="AG90" s="169" t="str">
        <f t="shared" si="43"/>
        <v>OK.</v>
      </c>
      <c r="AH90" s="169" t="str">
        <f t="shared" si="43"/>
        <v>OK.</v>
      </c>
      <c r="AI90" s="169" t="str">
        <f t="shared" si="43"/>
        <v>OK.</v>
      </c>
      <c r="AJ90" s="169" t="str">
        <f t="shared" si="43"/>
        <v>OK.</v>
      </c>
      <c r="AK90" s="169" t="str">
        <f t="shared" si="43"/>
        <v>OK.</v>
      </c>
      <c r="AL90" s="169" t="str">
        <f t="shared" si="43"/>
        <v>OK.</v>
      </c>
      <c r="AM90" s="169" t="str">
        <f t="shared" si="43"/>
        <v>OK.</v>
      </c>
      <c r="AN90" s="169" t="str">
        <f t="shared" si="43"/>
        <v>OK.</v>
      </c>
      <c r="AO90" s="169" t="str">
        <f t="shared" si="43"/>
        <v>OK.</v>
      </c>
    </row>
    <row r="91" spans="2:41" ht="12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</row>
    <row r="92" spans="2:41" ht="22.5">
      <c r="B92" s="173" t="s">
        <v>186</v>
      </c>
      <c r="C92" s="169" t="str">
        <f aca="true" t="shared" si="44" ref="C92:AO92">+IF(C7&lt;C8,"Za wysokie","OK.")</f>
        <v>OK.</v>
      </c>
      <c r="D92" s="169" t="str">
        <f t="shared" si="44"/>
        <v>OK.</v>
      </c>
      <c r="E92" s="169" t="str">
        <f t="shared" si="44"/>
        <v>OK.</v>
      </c>
      <c r="F92" s="169" t="str">
        <f t="shared" si="44"/>
        <v>OK.</v>
      </c>
      <c r="G92" s="169" t="str">
        <f t="shared" si="44"/>
        <v>OK.</v>
      </c>
      <c r="H92" s="169" t="str">
        <f t="shared" si="44"/>
        <v>OK.</v>
      </c>
      <c r="I92" s="169" t="str">
        <f t="shared" si="44"/>
        <v>OK.</v>
      </c>
      <c r="J92" s="169" t="str">
        <f t="shared" si="44"/>
        <v>OK.</v>
      </c>
      <c r="K92" s="169" t="str">
        <f t="shared" si="44"/>
        <v>OK.</v>
      </c>
      <c r="L92" s="169" t="str">
        <f t="shared" si="44"/>
        <v>OK.</v>
      </c>
      <c r="M92" s="169" t="str">
        <f t="shared" si="44"/>
        <v>OK.</v>
      </c>
      <c r="N92" s="169" t="str">
        <f t="shared" si="44"/>
        <v>OK.</v>
      </c>
      <c r="O92" s="169" t="str">
        <f t="shared" si="44"/>
        <v>OK.</v>
      </c>
      <c r="P92" s="169" t="str">
        <f t="shared" si="44"/>
        <v>OK.</v>
      </c>
      <c r="Q92" s="169" t="str">
        <f t="shared" si="44"/>
        <v>OK.</v>
      </c>
      <c r="R92" s="169" t="str">
        <f t="shared" si="44"/>
        <v>OK.</v>
      </c>
      <c r="S92" s="169" t="str">
        <f t="shared" si="44"/>
        <v>OK.</v>
      </c>
      <c r="T92" s="169" t="str">
        <f t="shared" si="44"/>
        <v>OK.</v>
      </c>
      <c r="U92" s="169" t="str">
        <f t="shared" si="44"/>
        <v>OK.</v>
      </c>
      <c r="V92" s="169" t="str">
        <f t="shared" si="44"/>
        <v>OK.</v>
      </c>
      <c r="W92" s="169" t="str">
        <f t="shared" si="44"/>
        <v>OK.</v>
      </c>
      <c r="X92" s="169" t="str">
        <f t="shared" si="44"/>
        <v>OK.</v>
      </c>
      <c r="Y92" s="169" t="str">
        <f t="shared" si="44"/>
        <v>OK.</v>
      </c>
      <c r="Z92" s="169" t="str">
        <f t="shared" si="44"/>
        <v>OK.</v>
      </c>
      <c r="AA92" s="169" t="str">
        <f t="shared" si="44"/>
        <v>OK.</v>
      </c>
      <c r="AB92" s="169" t="str">
        <f t="shared" si="44"/>
        <v>OK.</v>
      </c>
      <c r="AC92" s="169" t="str">
        <f t="shared" si="44"/>
        <v>OK.</v>
      </c>
      <c r="AD92" s="169" t="str">
        <f t="shared" si="44"/>
        <v>OK.</v>
      </c>
      <c r="AE92" s="169" t="str">
        <f t="shared" si="44"/>
        <v>OK.</v>
      </c>
      <c r="AF92" s="169" t="str">
        <f t="shared" si="44"/>
        <v>OK.</v>
      </c>
      <c r="AG92" s="169" t="str">
        <f t="shared" si="44"/>
        <v>OK.</v>
      </c>
      <c r="AH92" s="169" t="str">
        <f t="shared" si="44"/>
        <v>OK.</v>
      </c>
      <c r="AI92" s="169" t="str">
        <f t="shared" si="44"/>
        <v>OK.</v>
      </c>
      <c r="AJ92" s="169" t="str">
        <f t="shared" si="44"/>
        <v>OK.</v>
      </c>
      <c r="AK92" s="169" t="str">
        <f t="shared" si="44"/>
        <v>OK.</v>
      </c>
      <c r="AL92" s="169" t="str">
        <f t="shared" si="44"/>
        <v>OK.</v>
      </c>
      <c r="AM92" s="169" t="str">
        <f t="shared" si="44"/>
        <v>OK.</v>
      </c>
      <c r="AN92" s="169" t="str">
        <f t="shared" si="44"/>
        <v>OK.</v>
      </c>
      <c r="AO92" s="169" t="str">
        <f t="shared" si="44"/>
        <v>OK.</v>
      </c>
    </row>
    <row r="93" spans="2:41" ht="22.5">
      <c r="B93" s="173" t="s">
        <v>185</v>
      </c>
      <c r="C93" s="169" t="str">
        <f aca="true" t="shared" si="45" ref="C93:AO93">+IF(C9&lt;C11,"Za wysokie","OK.")</f>
        <v>OK.</v>
      </c>
      <c r="D93" s="169" t="str">
        <f t="shared" si="45"/>
        <v>OK.</v>
      </c>
      <c r="E93" s="169" t="str">
        <f t="shared" si="45"/>
        <v>OK.</v>
      </c>
      <c r="F93" s="169" t="str">
        <f t="shared" si="45"/>
        <v>OK.</v>
      </c>
      <c r="G93" s="169" t="str">
        <f t="shared" si="45"/>
        <v>OK.</v>
      </c>
      <c r="H93" s="169" t="str">
        <f t="shared" si="45"/>
        <v>OK.</v>
      </c>
      <c r="I93" s="169" t="str">
        <f t="shared" si="45"/>
        <v>OK.</v>
      </c>
      <c r="J93" s="169" t="str">
        <f t="shared" si="45"/>
        <v>OK.</v>
      </c>
      <c r="K93" s="169" t="str">
        <f t="shared" si="45"/>
        <v>OK.</v>
      </c>
      <c r="L93" s="169" t="str">
        <f t="shared" si="45"/>
        <v>OK.</v>
      </c>
      <c r="M93" s="169" t="str">
        <f t="shared" si="45"/>
        <v>OK.</v>
      </c>
      <c r="N93" s="169" t="str">
        <f t="shared" si="45"/>
        <v>OK.</v>
      </c>
      <c r="O93" s="169" t="str">
        <f t="shared" si="45"/>
        <v>OK.</v>
      </c>
      <c r="P93" s="169" t="str">
        <f t="shared" si="45"/>
        <v>OK.</v>
      </c>
      <c r="Q93" s="169" t="str">
        <f t="shared" si="45"/>
        <v>OK.</v>
      </c>
      <c r="R93" s="169" t="str">
        <f t="shared" si="45"/>
        <v>OK.</v>
      </c>
      <c r="S93" s="169" t="str">
        <f t="shared" si="45"/>
        <v>OK.</v>
      </c>
      <c r="T93" s="169" t="str">
        <f t="shared" si="45"/>
        <v>OK.</v>
      </c>
      <c r="U93" s="169" t="str">
        <f t="shared" si="45"/>
        <v>OK.</v>
      </c>
      <c r="V93" s="169" t="str">
        <f t="shared" si="45"/>
        <v>OK.</v>
      </c>
      <c r="W93" s="169" t="str">
        <f t="shared" si="45"/>
        <v>OK.</v>
      </c>
      <c r="X93" s="169" t="str">
        <f t="shared" si="45"/>
        <v>OK.</v>
      </c>
      <c r="Y93" s="169" t="str">
        <f t="shared" si="45"/>
        <v>OK.</v>
      </c>
      <c r="Z93" s="169" t="str">
        <f t="shared" si="45"/>
        <v>OK.</v>
      </c>
      <c r="AA93" s="169" t="str">
        <f t="shared" si="45"/>
        <v>OK.</v>
      </c>
      <c r="AB93" s="169" t="str">
        <f t="shared" si="45"/>
        <v>OK.</v>
      </c>
      <c r="AC93" s="169" t="str">
        <f t="shared" si="45"/>
        <v>OK.</v>
      </c>
      <c r="AD93" s="169" t="str">
        <f t="shared" si="45"/>
        <v>OK.</v>
      </c>
      <c r="AE93" s="169" t="str">
        <f t="shared" si="45"/>
        <v>OK.</v>
      </c>
      <c r="AF93" s="169" t="str">
        <f t="shared" si="45"/>
        <v>OK.</v>
      </c>
      <c r="AG93" s="169" t="str">
        <f t="shared" si="45"/>
        <v>OK.</v>
      </c>
      <c r="AH93" s="169" t="str">
        <f t="shared" si="45"/>
        <v>OK.</v>
      </c>
      <c r="AI93" s="169" t="str">
        <f t="shared" si="45"/>
        <v>OK.</v>
      </c>
      <c r="AJ93" s="169" t="str">
        <f t="shared" si="45"/>
        <v>OK.</v>
      </c>
      <c r="AK93" s="169" t="str">
        <f t="shared" si="45"/>
        <v>OK.</v>
      </c>
      <c r="AL93" s="169" t="str">
        <f t="shared" si="45"/>
        <v>OK.</v>
      </c>
      <c r="AM93" s="169" t="str">
        <f t="shared" si="45"/>
        <v>OK.</v>
      </c>
      <c r="AN93" s="169" t="str">
        <f t="shared" si="45"/>
        <v>OK.</v>
      </c>
      <c r="AO93" s="169" t="str">
        <f t="shared" si="45"/>
        <v>OK.</v>
      </c>
    </row>
    <row r="94" spans="2:41" ht="33.75">
      <c r="B94" s="173" t="s">
        <v>184</v>
      </c>
      <c r="C94" s="169" t="str">
        <f>+IF(C14&lt;C15,"Za wysokie","OK.")</f>
        <v>OK.</v>
      </c>
      <c r="D94" s="169" t="str">
        <f aca="true" t="shared" si="46" ref="D94:AO94">+IF(D14&lt;D15,"Za wysokie","OK.")</f>
        <v>OK.</v>
      </c>
      <c r="E94" s="169" t="str">
        <f t="shared" si="46"/>
        <v>OK.</v>
      </c>
      <c r="F94" s="169" t="str">
        <f t="shared" si="46"/>
        <v>OK.</v>
      </c>
      <c r="G94" s="169" t="str">
        <f t="shared" si="46"/>
        <v>OK.</v>
      </c>
      <c r="H94" s="169" t="str">
        <f t="shared" si="46"/>
        <v>OK.</v>
      </c>
      <c r="I94" s="169" t="str">
        <f t="shared" si="46"/>
        <v>OK.</v>
      </c>
      <c r="J94" s="169" t="str">
        <f t="shared" si="46"/>
        <v>OK.</v>
      </c>
      <c r="K94" s="169" t="str">
        <f t="shared" si="46"/>
        <v>OK.</v>
      </c>
      <c r="L94" s="169" t="str">
        <f t="shared" si="46"/>
        <v>OK.</v>
      </c>
      <c r="M94" s="169" t="str">
        <f t="shared" si="46"/>
        <v>OK.</v>
      </c>
      <c r="N94" s="169" t="str">
        <f t="shared" si="46"/>
        <v>OK.</v>
      </c>
      <c r="O94" s="169" t="str">
        <f t="shared" si="46"/>
        <v>OK.</v>
      </c>
      <c r="P94" s="169" t="str">
        <f t="shared" si="46"/>
        <v>OK.</v>
      </c>
      <c r="Q94" s="169" t="str">
        <f t="shared" si="46"/>
        <v>OK.</v>
      </c>
      <c r="R94" s="169" t="str">
        <f t="shared" si="46"/>
        <v>OK.</v>
      </c>
      <c r="S94" s="169" t="str">
        <f t="shared" si="46"/>
        <v>OK.</v>
      </c>
      <c r="T94" s="169" t="str">
        <f t="shared" si="46"/>
        <v>OK.</v>
      </c>
      <c r="U94" s="169" t="str">
        <f t="shared" si="46"/>
        <v>OK.</v>
      </c>
      <c r="V94" s="169" t="str">
        <f t="shared" si="46"/>
        <v>OK.</v>
      </c>
      <c r="W94" s="169" t="str">
        <f t="shared" si="46"/>
        <v>OK.</v>
      </c>
      <c r="X94" s="169" t="str">
        <f t="shared" si="46"/>
        <v>OK.</v>
      </c>
      <c r="Y94" s="169" t="str">
        <f t="shared" si="46"/>
        <v>OK.</v>
      </c>
      <c r="Z94" s="169" t="str">
        <f t="shared" si="46"/>
        <v>OK.</v>
      </c>
      <c r="AA94" s="169" t="str">
        <f t="shared" si="46"/>
        <v>OK.</v>
      </c>
      <c r="AB94" s="169" t="str">
        <f t="shared" si="46"/>
        <v>OK.</v>
      </c>
      <c r="AC94" s="169" t="str">
        <f t="shared" si="46"/>
        <v>OK.</v>
      </c>
      <c r="AD94" s="169" t="str">
        <f t="shared" si="46"/>
        <v>OK.</v>
      </c>
      <c r="AE94" s="169" t="str">
        <f t="shared" si="46"/>
        <v>OK.</v>
      </c>
      <c r="AF94" s="169" t="str">
        <f t="shared" si="46"/>
        <v>OK.</v>
      </c>
      <c r="AG94" s="169" t="str">
        <f t="shared" si="46"/>
        <v>OK.</v>
      </c>
      <c r="AH94" s="169" t="str">
        <f t="shared" si="46"/>
        <v>OK.</v>
      </c>
      <c r="AI94" s="169" t="str">
        <f t="shared" si="46"/>
        <v>OK.</v>
      </c>
      <c r="AJ94" s="169" t="str">
        <f t="shared" si="46"/>
        <v>OK.</v>
      </c>
      <c r="AK94" s="169" t="str">
        <f t="shared" si="46"/>
        <v>OK.</v>
      </c>
      <c r="AL94" s="169" t="str">
        <f t="shared" si="46"/>
        <v>OK.</v>
      </c>
      <c r="AM94" s="169" t="str">
        <f t="shared" si="46"/>
        <v>OK.</v>
      </c>
      <c r="AN94" s="169" t="str">
        <f t="shared" si="46"/>
        <v>OK.</v>
      </c>
      <c r="AO94" s="169" t="str">
        <f t="shared" si="46"/>
        <v>OK.</v>
      </c>
    </row>
    <row r="95" spans="2:41" ht="33.75">
      <c r="B95" s="175" t="s">
        <v>180</v>
      </c>
      <c r="C95" s="176" t="str">
        <f aca="true" t="shared" si="47" ref="C95:AO95">+IF(C20&lt;C21,"Za wysokie","OK.")</f>
        <v>OK.</v>
      </c>
      <c r="D95" s="176" t="str">
        <f t="shared" si="47"/>
        <v>OK.</v>
      </c>
      <c r="E95" s="176" t="str">
        <f t="shared" si="47"/>
        <v>OK.</v>
      </c>
      <c r="F95" s="176" t="str">
        <f t="shared" si="47"/>
        <v>OK.</v>
      </c>
      <c r="G95" s="176" t="str">
        <f t="shared" si="47"/>
        <v>OK.</v>
      </c>
      <c r="H95" s="176" t="str">
        <f t="shared" si="47"/>
        <v>OK.</v>
      </c>
      <c r="I95" s="176" t="str">
        <f t="shared" si="47"/>
        <v>OK.</v>
      </c>
      <c r="J95" s="176" t="str">
        <f t="shared" si="47"/>
        <v>OK.</v>
      </c>
      <c r="K95" s="176" t="str">
        <f t="shared" si="47"/>
        <v>OK.</v>
      </c>
      <c r="L95" s="176" t="str">
        <f t="shared" si="47"/>
        <v>OK.</v>
      </c>
      <c r="M95" s="176" t="str">
        <f t="shared" si="47"/>
        <v>OK.</v>
      </c>
      <c r="N95" s="176" t="str">
        <f t="shared" si="47"/>
        <v>OK.</v>
      </c>
      <c r="O95" s="176" t="str">
        <f t="shared" si="47"/>
        <v>OK.</v>
      </c>
      <c r="P95" s="176" t="str">
        <f t="shared" si="47"/>
        <v>OK.</v>
      </c>
      <c r="Q95" s="176" t="str">
        <f t="shared" si="47"/>
        <v>OK.</v>
      </c>
      <c r="R95" s="176" t="str">
        <f t="shared" si="47"/>
        <v>OK.</v>
      </c>
      <c r="S95" s="176" t="str">
        <f t="shared" si="47"/>
        <v>OK.</v>
      </c>
      <c r="T95" s="176" t="str">
        <f t="shared" si="47"/>
        <v>OK.</v>
      </c>
      <c r="U95" s="176" t="str">
        <f t="shared" si="47"/>
        <v>OK.</v>
      </c>
      <c r="V95" s="176" t="str">
        <f t="shared" si="47"/>
        <v>OK.</v>
      </c>
      <c r="W95" s="176" t="str">
        <f t="shared" si="47"/>
        <v>OK.</v>
      </c>
      <c r="X95" s="176" t="str">
        <f t="shared" si="47"/>
        <v>OK.</v>
      </c>
      <c r="Y95" s="176" t="str">
        <f t="shared" si="47"/>
        <v>OK.</v>
      </c>
      <c r="Z95" s="176" t="str">
        <f t="shared" si="47"/>
        <v>OK.</v>
      </c>
      <c r="AA95" s="176" t="str">
        <f t="shared" si="47"/>
        <v>OK.</v>
      </c>
      <c r="AB95" s="176" t="str">
        <f t="shared" si="47"/>
        <v>OK.</v>
      </c>
      <c r="AC95" s="176" t="str">
        <f t="shared" si="47"/>
        <v>OK.</v>
      </c>
      <c r="AD95" s="176" t="str">
        <f t="shared" si="47"/>
        <v>OK.</v>
      </c>
      <c r="AE95" s="176" t="str">
        <f t="shared" si="47"/>
        <v>OK.</v>
      </c>
      <c r="AF95" s="176" t="str">
        <f t="shared" si="47"/>
        <v>OK.</v>
      </c>
      <c r="AG95" s="176" t="str">
        <f t="shared" si="47"/>
        <v>OK.</v>
      </c>
      <c r="AH95" s="176" t="str">
        <f t="shared" si="47"/>
        <v>OK.</v>
      </c>
      <c r="AI95" s="176" t="str">
        <f t="shared" si="47"/>
        <v>OK.</v>
      </c>
      <c r="AJ95" s="176" t="str">
        <f t="shared" si="47"/>
        <v>OK.</v>
      </c>
      <c r="AK95" s="176" t="str">
        <f t="shared" si="47"/>
        <v>OK.</v>
      </c>
      <c r="AL95" s="176" t="str">
        <f t="shared" si="47"/>
        <v>OK.</v>
      </c>
      <c r="AM95" s="176" t="str">
        <f t="shared" si="47"/>
        <v>OK.</v>
      </c>
      <c r="AN95" s="176" t="str">
        <f t="shared" si="47"/>
        <v>OK.</v>
      </c>
      <c r="AO95" s="176" t="str">
        <f t="shared" si="47"/>
        <v>OK.</v>
      </c>
    </row>
  </sheetData>
  <sheetProtection/>
  <conditionalFormatting sqref="C76:AO78 C92:AO95 C81:AO87 C89:AO90 C67:AO74">
    <cfRule type="cellIs" priority="5" dxfId="3" operator="equal" stopIfTrue="1">
      <formula>"Błąd"</formula>
    </cfRule>
  </conditionalFormatting>
  <conditionalFormatting sqref="C47:AO47 C49:AO49">
    <cfRule type="expression" priority="7" dxfId="4" stopIfTrue="1">
      <formula>LEFT(C47,3)="Nie"</formula>
    </cfRule>
  </conditionalFormatting>
  <conditionalFormatting sqref="C80:AO80">
    <cfRule type="cellIs" priority="1" dxfId="3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2011-11-16a&amp;C&amp;8Strona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IO72"/>
  <sheetViews>
    <sheetView tabSelected="1" zoomScalePageLayoutView="0" workbookViewId="0" topLeftCell="A1">
      <pane xSplit="2" ySplit="6" topLeftCell="C22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3" sqref="B3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XXIV/125/2012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(1425062) - JEDLNIA-LETNISKO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2012-2022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31991829.19</f>
        <v>31991829.19</v>
      </c>
      <c r="D7" s="133">
        <f>31283833</f>
        <v>31283833</v>
      </c>
      <c r="E7" s="133">
        <f>31794363</f>
        <v>31794363</v>
      </c>
      <c r="F7" s="133">
        <f>32515274</f>
        <v>32515274</v>
      </c>
      <c r="G7" s="133">
        <f>33598788</f>
        <v>33598788</v>
      </c>
      <c r="H7" s="133">
        <f>32991479</f>
        <v>32991479</v>
      </c>
      <c r="I7" s="133">
        <f>33878223</f>
        <v>33878223</v>
      </c>
      <c r="J7" s="133">
        <f>34994570</f>
        <v>34994570</v>
      </c>
      <c r="K7" s="133">
        <f>35241407</f>
        <v>35241407</v>
      </c>
      <c r="L7" s="133">
        <f>37019649</f>
        <v>37019649</v>
      </c>
      <c r="M7" s="133">
        <f>38130238</f>
        <v>38130238</v>
      </c>
      <c r="N7" s="133">
        <f>0</f>
        <v>0</v>
      </c>
      <c r="O7" s="133">
        <f>0</f>
        <v>0</v>
      </c>
      <c r="P7" s="133">
        <f>0</f>
        <v>0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28620205.19</f>
        <v>28620205.19</v>
      </c>
      <c r="D8" s="112">
        <f>29768833</f>
        <v>29768833</v>
      </c>
      <c r="E8" s="112">
        <f>30279363</f>
        <v>30279363</v>
      </c>
      <c r="F8" s="112">
        <f>31000274</f>
        <v>31000274</v>
      </c>
      <c r="G8" s="112">
        <f>31983475</f>
        <v>31983475</v>
      </c>
      <c r="H8" s="112">
        <f>32991479</f>
        <v>32991479</v>
      </c>
      <c r="I8" s="112">
        <f>33878223</f>
        <v>33878223</v>
      </c>
      <c r="J8" s="112">
        <f>34994570</f>
        <v>34994570</v>
      </c>
      <c r="K8" s="112">
        <f>35241407</f>
        <v>35241407</v>
      </c>
      <c r="L8" s="112">
        <f>37019649</f>
        <v>37019649</v>
      </c>
      <c r="M8" s="112">
        <f>38130238</f>
        <v>38130238</v>
      </c>
      <c r="N8" s="112">
        <f>0</f>
        <v>0</v>
      </c>
      <c r="O8" s="112">
        <f>0</f>
        <v>0</v>
      </c>
      <c r="P8" s="112">
        <f>0</f>
        <v>0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131940.9</f>
        <v>131940.9</v>
      </c>
      <c r="D9" s="112">
        <f>170050</f>
        <v>170050</v>
      </c>
      <c r="E9" s="112">
        <f>179000</f>
        <v>179000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3371624</f>
        <v>3371624</v>
      </c>
      <c r="D10" s="112">
        <f>1515000</f>
        <v>1515000</v>
      </c>
      <c r="E10" s="112">
        <f>1515000</f>
        <v>1515000</v>
      </c>
      <c r="F10" s="112">
        <f>1515000</f>
        <v>1515000</v>
      </c>
      <c r="G10" s="112">
        <f>1615313</f>
        <v>1615313</v>
      </c>
      <c r="H10" s="112">
        <f>0</f>
        <v>0</v>
      </c>
      <c r="I10" s="112">
        <f>0</f>
        <v>0</v>
      </c>
      <c r="J10" s="112">
        <f>0</f>
        <v>0</v>
      </c>
      <c r="K10" s="112">
        <f>0</f>
        <v>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0</f>
        <v>0</v>
      </c>
      <c r="D11" s="112">
        <f>0</f>
        <v>0</v>
      </c>
      <c r="E11" s="112">
        <f>0</f>
        <v>0</v>
      </c>
      <c r="F11" s="112">
        <f>0</f>
        <v>0</v>
      </c>
      <c r="G11" s="112">
        <f>0</f>
        <v>0</v>
      </c>
      <c r="H11" s="112">
        <f>0</f>
        <v>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1772800</f>
        <v>1772800</v>
      </c>
      <c r="D12" s="136">
        <f>1515000</f>
        <v>1515000</v>
      </c>
      <c r="E12" s="136">
        <f>1515000</f>
        <v>1515000</v>
      </c>
      <c r="F12" s="136">
        <f>1515000</f>
        <v>1515000</v>
      </c>
      <c r="G12" s="136">
        <f>1615313</f>
        <v>1615313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26330574.89</f>
        <v>26330574.89</v>
      </c>
      <c r="D13" s="133">
        <f>26865233</f>
        <v>26865233</v>
      </c>
      <c r="E13" s="133">
        <f>27741737</f>
        <v>27741737</v>
      </c>
      <c r="F13" s="133">
        <f>28496008</f>
        <v>28496008</v>
      </c>
      <c r="G13" s="133">
        <f>29288344</f>
        <v>29288344</v>
      </c>
      <c r="H13" s="133">
        <f>30016241</f>
        <v>30016241</v>
      </c>
      <c r="I13" s="133">
        <f>30971747</f>
        <v>30971747</v>
      </c>
      <c r="J13" s="133">
        <f>31582291</f>
        <v>31582291</v>
      </c>
      <c r="K13" s="133">
        <f>32914948</f>
        <v>32914948</v>
      </c>
      <c r="L13" s="133">
        <f>33426802</f>
        <v>33426802</v>
      </c>
      <c r="M13" s="133">
        <f>34208608</f>
        <v>34208608</v>
      </c>
      <c r="N13" s="133">
        <f>0</f>
        <v>0</v>
      </c>
      <c r="O13" s="133">
        <f>0</f>
        <v>0</v>
      </c>
      <c r="P13" s="133">
        <f>0</f>
        <v>0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14686122</f>
        <v>14686122</v>
      </c>
      <c r="D14" s="112">
        <f>15133162</f>
        <v>15133162</v>
      </c>
      <c r="E14" s="112">
        <f>15541758</f>
        <v>15541758</v>
      </c>
      <c r="F14" s="112">
        <f>15961385</f>
        <v>15961385</v>
      </c>
      <c r="G14" s="112">
        <f>16392342</f>
        <v>16392342</v>
      </c>
      <c r="H14" s="112">
        <f>16834936</f>
        <v>16834936</v>
      </c>
      <c r="I14" s="112">
        <f>17272644</f>
        <v>17272644</v>
      </c>
      <c r="J14" s="112">
        <f>17721733</f>
        <v>17721733</v>
      </c>
      <c r="K14" s="112">
        <f>18041291</f>
        <v>18041291</v>
      </c>
      <c r="L14" s="112">
        <f>18456241</f>
        <v>18456241</v>
      </c>
      <c r="M14" s="112">
        <f>18880734</f>
        <v>18880734</v>
      </c>
      <c r="N14" s="112">
        <f>0</f>
        <v>0</v>
      </c>
      <c r="O14" s="112">
        <f>0</f>
        <v>0</v>
      </c>
      <c r="P14" s="112">
        <f>0</f>
        <v>0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2954061</f>
        <v>2954061</v>
      </c>
      <c r="D15" s="112">
        <f>3023685</f>
        <v>3023685</v>
      </c>
      <c r="E15" s="112">
        <f>3102301</f>
        <v>3102301</v>
      </c>
      <c r="F15" s="112">
        <f>3182961</f>
        <v>3182961</v>
      </c>
      <c r="G15" s="112">
        <f>3265718</f>
        <v>3265718</v>
      </c>
      <c r="H15" s="112">
        <f>3350627</f>
        <v>3350627</v>
      </c>
      <c r="I15" s="112">
        <f>3434392</f>
        <v>3434392</v>
      </c>
      <c r="J15" s="112">
        <f>3520252</f>
        <v>3520252</v>
      </c>
      <c r="K15" s="112">
        <f>3608258</f>
        <v>3608258</v>
      </c>
      <c r="L15" s="112">
        <f>3691248</f>
        <v>3691248</v>
      </c>
      <c r="M15" s="112">
        <f>3776147</f>
        <v>3776147</v>
      </c>
      <c r="N15" s="112">
        <f>0</f>
        <v>0</v>
      </c>
      <c r="O15" s="112">
        <f>0</f>
        <v>0</v>
      </c>
      <c r="P15" s="112">
        <f>0</f>
        <v>0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1267420</f>
        <v>1267420</v>
      </c>
      <c r="D18" s="112">
        <f>460000</f>
        <v>460000</v>
      </c>
      <c r="E18" s="112">
        <f>200000</f>
        <v>200000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147420</f>
        <v>147420</v>
      </c>
      <c r="D19" s="136">
        <f>190000</f>
        <v>190000</v>
      </c>
      <c r="E19" s="136">
        <f>200000</f>
        <v>200000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5661254.3</f>
        <v>5661254.3</v>
      </c>
      <c r="D20" s="106">
        <f>4418600</f>
        <v>4418600</v>
      </c>
      <c r="E20" s="106">
        <f>4052626</f>
        <v>4052626</v>
      </c>
      <c r="F20" s="106">
        <f>4019266</f>
        <v>4019266</v>
      </c>
      <c r="G20" s="106">
        <f>4310444</f>
        <v>4310444</v>
      </c>
      <c r="H20" s="106">
        <f>2975238</f>
        <v>2975238</v>
      </c>
      <c r="I20" s="106">
        <f>2906476</f>
        <v>2906476</v>
      </c>
      <c r="J20" s="106">
        <f>3412279</f>
        <v>3412279</v>
      </c>
      <c r="K20" s="106">
        <f>2326459</f>
        <v>2326459</v>
      </c>
      <c r="L20" s="106">
        <f>3592847</f>
        <v>3592847</v>
      </c>
      <c r="M20" s="106">
        <f>3921630</f>
        <v>3921630</v>
      </c>
      <c r="N20" s="106">
        <f>0</f>
        <v>0</v>
      </c>
      <c r="O20" s="106">
        <f>0</f>
        <v>0</v>
      </c>
      <c r="P20" s="106">
        <f>0</f>
        <v>0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197</v>
      </c>
      <c r="C21" s="133">
        <f>0</f>
        <v>0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0</f>
        <v>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5661254.3</f>
        <v>5661254.3</v>
      </c>
      <c r="D25" s="106">
        <f>4418600</f>
        <v>4418600</v>
      </c>
      <c r="E25" s="106">
        <f>4052626</f>
        <v>4052626</v>
      </c>
      <c r="F25" s="106">
        <f>4019266</f>
        <v>4019266</v>
      </c>
      <c r="G25" s="106">
        <f>4310444</f>
        <v>4310444</v>
      </c>
      <c r="H25" s="106">
        <f>2975238</f>
        <v>2975238</v>
      </c>
      <c r="I25" s="106">
        <f>2906476</f>
        <v>2906476</v>
      </c>
      <c r="J25" s="106">
        <f>3412279</f>
        <v>3412279</v>
      </c>
      <c r="K25" s="106">
        <f>2326459</f>
        <v>2326459</v>
      </c>
      <c r="L25" s="106">
        <f>3592847</f>
        <v>3592847</v>
      </c>
      <c r="M25" s="106">
        <f>3921630</f>
        <v>3921630</v>
      </c>
      <c r="N25" s="106">
        <f>0</f>
        <v>0</v>
      </c>
      <c r="O25" s="106">
        <f>0</f>
        <v>0</v>
      </c>
      <c r="P25" s="106">
        <f>0</f>
        <v>0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3796952</f>
        <v>3796952</v>
      </c>
      <c r="D26" s="133">
        <f>4390600</f>
        <v>4390600</v>
      </c>
      <c r="E26" s="133">
        <f>1391000</f>
        <v>1391000</v>
      </c>
      <c r="F26" s="133">
        <f>1936900</f>
        <v>1936900</v>
      </c>
      <c r="G26" s="133">
        <f>2000000</f>
        <v>2000000</v>
      </c>
      <c r="H26" s="133">
        <f>2044000</f>
        <v>2044000</v>
      </c>
      <c r="I26" s="133">
        <f>2200000</f>
        <v>2200000</v>
      </c>
      <c r="J26" s="133">
        <f>2570000</f>
        <v>2570000</v>
      </c>
      <c r="K26" s="133">
        <f>716400</f>
        <v>716400</v>
      </c>
      <c r="L26" s="133">
        <f>2696576</f>
        <v>2696576</v>
      </c>
      <c r="M26" s="133">
        <f>1813635</f>
        <v>1813635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3160952</f>
        <v>3160952</v>
      </c>
      <c r="D27" s="112">
        <f>3670600</f>
        <v>3670600</v>
      </c>
      <c r="E27" s="112">
        <f>781000</f>
        <v>781000</v>
      </c>
      <c r="F27" s="112">
        <f>1396900</f>
        <v>1396900</v>
      </c>
      <c r="G27" s="112">
        <f>1500000</f>
        <v>1500000</v>
      </c>
      <c r="H27" s="112">
        <f>1694000</f>
        <v>1694000</v>
      </c>
      <c r="I27" s="112">
        <f>1950000</f>
        <v>1950000</v>
      </c>
      <c r="J27" s="112">
        <f>2450000</f>
        <v>2450000</v>
      </c>
      <c r="K27" s="112">
        <f>500000</f>
        <v>500000</v>
      </c>
      <c r="L27" s="112">
        <f>2566576</f>
        <v>2566576</v>
      </c>
      <c r="M27" s="112">
        <f>1693635</f>
        <v>1693635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636000</f>
        <v>636000</v>
      </c>
      <c r="D29" s="112">
        <f>720000</f>
        <v>720000</v>
      </c>
      <c r="E29" s="112">
        <f>610000</f>
        <v>610000</v>
      </c>
      <c r="F29" s="112">
        <f>540000</f>
        <v>540000</v>
      </c>
      <c r="G29" s="112">
        <f>500000</f>
        <v>500000</v>
      </c>
      <c r="H29" s="112">
        <f>350000</f>
        <v>350000</v>
      </c>
      <c r="I29" s="112">
        <f>250000</f>
        <v>250000</v>
      </c>
      <c r="J29" s="112">
        <f>120000</f>
        <v>120000</v>
      </c>
      <c r="K29" s="112">
        <f>216400</f>
        <v>216400</v>
      </c>
      <c r="L29" s="112">
        <f>130000</f>
        <v>130000</v>
      </c>
      <c r="M29" s="112">
        <f>120000</f>
        <v>120000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600000</f>
        <v>600000</v>
      </c>
      <c r="D30" s="136">
        <f>710000</f>
        <v>710000</v>
      </c>
      <c r="E30" s="136">
        <f>600000</f>
        <v>600000</v>
      </c>
      <c r="F30" s="136">
        <f>530000</f>
        <v>530000</v>
      </c>
      <c r="G30" s="136">
        <f>490000</f>
        <v>490000</v>
      </c>
      <c r="H30" s="136">
        <f>350000</f>
        <v>350000</v>
      </c>
      <c r="I30" s="136">
        <f>250000</f>
        <v>250000</v>
      </c>
      <c r="J30" s="136">
        <f>120000</f>
        <v>120000</v>
      </c>
      <c r="K30" s="136">
        <f>216400</f>
        <v>216400</v>
      </c>
      <c r="L30" s="136">
        <f>130000</f>
        <v>130000</v>
      </c>
      <c r="M30" s="136">
        <f>120000</f>
        <v>120000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1864302.3</f>
        <v>1864302.3</v>
      </c>
      <c r="D32" s="106">
        <f>28000</f>
        <v>28000</v>
      </c>
      <c r="E32" s="106">
        <f>2661626</f>
        <v>2661626</v>
      </c>
      <c r="F32" s="106">
        <f>2082366</f>
        <v>2082366</v>
      </c>
      <c r="G32" s="106">
        <f>2310444</f>
        <v>2310444</v>
      </c>
      <c r="H32" s="106">
        <f>931238</f>
        <v>931238</v>
      </c>
      <c r="I32" s="106">
        <f>706476</f>
        <v>706476</v>
      </c>
      <c r="J32" s="106">
        <f>842279</f>
        <v>842279</v>
      </c>
      <c r="K32" s="106">
        <f>1610059</f>
        <v>1610059</v>
      </c>
      <c r="L32" s="106">
        <f>896271</f>
        <v>896271</v>
      </c>
      <c r="M32" s="106">
        <f>2107995</f>
        <v>2107995</v>
      </c>
      <c r="N32" s="106">
        <f>0</f>
        <v>0</v>
      </c>
      <c r="O32" s="106">
        <f>0</f>
        <v>0</v>
      </c>
      <c r="P32" s="106">
        <f>0</f>
        <v>0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5523702.3</f>
        <v>5523702.3</v>
      </c>
      <c r="D33" s="133">
        <f aca="true" t="shared" si="0" ref="D33:F34">3068000</f>
        <v>3068000</v>
      </c>
      <c r="E33" s="133">
        <f t="shared" si="0"/>
        <v>3068000</v>
      </c>
      <c r="F33" s="133">
        <f t="shared" si="0"/>
        <v>3068000</v>
      </c>
      <c r="G33" s="133">
        <f>3372147</f>
        <v>3372147</v>
      </c>
      <c r="H33" s="133">
        <f>931238</f>
        <v>931238</v>
      </c>
      <c r="I33" s="133">
        <f>706476</f>
        <v>706476</v>
      </c>
      <c r="J33" s="133">
        <f>842279</f>
        <v>842279</v>
      </c>
      <c r="K33" s="133">
        <f>1610059</f>
        <v>1610059</v>
      </c>
      <c r="L33" s="133">
        <f>896271</f>
        <v>896271</v>
      </c>
      <c r="M33" s="133">
        <f>2107995</f>
        <v>2107995</v>
      </c>
      <c r="N33" s="133">
        <f>0</f>
        <v>0</v>
      </c>
      <c r="O33" s="133">
        <f>0</f>
        <v>0</v>
      </c>
      <c r="P33" s="133">
        <f>0</f>
        <v>0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3595000</f>
        <v>3595000</v>
      </c>
      <c r="D34" s="112">
        <f t="shared" si="0"/>
        <v>3068000</v>
      </c>
      <c r="E34" s="112">
        <f t="shared" si="0"/>
        <v>3068000</v>
      </c>
      <c r="F34" s="112">
        <f t="shared" si="0"/>
        <v>3068000</v>
      </c>
      <c r="G34" s="112">
        <f>3372147</f>
        <v>3372147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3590000</f>
        <v>3590000</v>
      </c>
      <c r="D35" s="136">
        <f>2900000</f>
        <v>2900000</v>
      </c>
      <c r="E35" s="136">
        <f>2900000</f>
        <v>2900000</v>
      </c>
      <c r="F35" s="136">
        <f>2900000</f>
        <v>2900000</v>
      </c>
      <c r="G35" s="136">
        <f>3156930</f>
        <v>3156930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3659400</f>
        <v>3659400</v>
      </c>
      <c r="D36" s="139">
        <f>3040000</f>
        <v>3040000</v>
      </c>
      <c r="E36" s="139">
        <f>406374</f>
        <v>406374</v>
      </c>
      <c r="F36" s="139">
        <f>985634</f>
        <v>985634</v>
      </c>
      <c r="G36" s="139">
        <f>1061703</f>
        <v>1061703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498448</f>
        <v>498448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12709000</f>
        <v>12709000</v>
      </c>
      <c r="D39" s="141">
        <f>12078400</f>
        <v>12078400</v>
      </c>
      <c r="E39" s="141">
        <f>11703774</f>
        <v>11703774</v>
      </c>
      <c r="F39" s="141">
        <f>11292508</f>
        <v>11292508</v>
      </c>
      <c r="G39" s="141">
        <f>10854211</f>
        <v>10854211</v>
      </c>
      <c r="H39" s="141">
        <f>9160211</f>
        <v>9160211</v>
      </c>
      <c r="I39" s="141">
        <f>7210211</f>
        <v>7210211</v>
      </c>
      <c r="J39" s="141">
        <f>4760211</f>
        <v>4760211</v>
      </c>
      <c r="K39" s="141">
        <f>4260211</f>
        <v>4260211</v>
      </c>
      <c r="L39" s="141">
        <f>1693635</f>
        <v>1693635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0</f>
        <v>0</v>
      </c>
      <c r="D43" s="41">
        <f>630600</f>
        <v>630600</v>
      </c>
      <c r="E43" s="41">
        <f>374626</f>
        <v>374626</v>
      </c>
      <c r="F43" s="41">
        <f>411266</f>
        <v>411266</v>
      </c>
      <c r="G43" s="41">
        <f>438297</f>
        <v>438297</v>
      </c>
      <c r="H43" s="41">
        <f>1694000</f>
        <v>1694000</v>
      </c>
      <c r="I43" s="41">
        <f>1950000</f>
        <v>1950000</v>
      </c>
      <c r="J43" s="41">
        <f>2450000</f>
        <v>2450000</v>
      </c>
      <c r="K43" s="41">
        <f>500000</f>
        <v>500000</v>
      </c>
      <c r="L43" s="41">
        <f>2566576</f>
        <v>2566576</v>
      </c>
      <c r="M43" s="41">
        <f>1693635</f>
        <v>1693635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0.3973</f>
        <v>0.3973</v>
      </c>
      <c r="D46" s="148">
        <f>0.3861</f>
        <v>0.3861</v>
      </c>
      <c r="E46" s="148">
        <f>0.3681</f>
        <v>0.3681</v>
      </c>
      <c r="F46" s="148">
        <f>0.3473</f>
        <v>0.3473</v>
      </c>
      <c r="G46" s="148">
        <f>0.3231</f>
        <v>0.3231</v>
      </c>
      <c r="H46" s="148">
        <f>0.2777</f>
        <v>0.2777</v>
      </c>
      <c r="I46" s="148">
        <f>0.2128</f>
        <v>0.2128</v>
      </c>
      <c r="J46" s="148">
        <f>0.136</f>
        <v>0.136</v>
      </c>
      <c r="K46" s="148">
        <f>0.1209</f>
        <v>0.1209</v>
      </c>
      <c r="L46" s="148">
        <f>0.0457</f>
        <v>0.0457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0.3973</f>
        <v>0.3973</v>
      </c>
      <c r="D47" s="121">
        <f>0.3861</f>
        <v>0.3861</v>
      </c>
      <c r="E47" s="121">
        <f>0.3681</f>
        <v>0.3681</v>
      </c>
      <c r="F47" s="121">
        <f>0.3473</f>
        <v>0.3473</v>
      </c>
      <c r="G47" s="121">
        <f>0.3231</f>
        <v>0.3231</v>
      </c>
      <c r="H47" s="121">
        <f>0.2777</f>
        <v>0.2777</v>
      </c>
      <c r="I47" s="121">
        <f>0.2128</f>
        <v>0.2128</v>
      </c>
      <c r="J47" s="121">
        <f>0.136</f>
        <v>0.136</v>
      </c>
      <c r="K47" s="121">
        <f>0.1209</f>
        <v>0.1209</v>
      </c>
      <c r="L47" s="121">
        <f>0.0457</f>
        <v>0.0457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0.1176</f>
        <v>0.1176</v>
      </c>
      <c r="D48" s="121">
        <f>0.14</f>
        <v>0.14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0.1176</f>
        <v>0.1176</v>
      </c>
      <c r="D49" s="150">
        <f>0.14</f>
        <v>0.14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0.0517</f>
        <v>0.0517</v>
      </c>
      <c r="D50" s="148">
        <f>0.0698</f>
        <v>0.0698</v>
      </c>
      <c r="E50" s="148">
        <f>0.0606</f>
        <v>0.0606</v>
      </c>
      <c r="F50" s="148">
        <f>0.0604</f>
        <v>0.0604</v>
      </c>
      <c r="G50" s="148">
        <f>0.0653</f>
        <v>0.0653</v>
      </c>
      <c r="H50" s="148">
        <f>0.0796</f>
        <v>0.0796</v>
      </c>
      <c r="I50" s="148">
        <f>0.0784</f>
        <v>0.0784</v>
      </c>
      <c r="J50" s="148">
        <f>0.0941</f>
        <v>0.0941</v>
      </c>
      <c r="K50" s="148">
        <f>0.0599</f>
        <v>0.0599</v>
      </c>
      <c r="L50" s="148">
        <f>0.0935</f>
        <v>0.0935</v>
      </c>
      <c r="M50" s="148">
        <f>0.0997</f>
        <v>0.0997</v>
      </c>
      <c r="N50" s="148">
        <f>0</f>
        <v>0</v>
      </c>
      <c r="O50" s="148">
        <f>0</f>
        <v>0</v>
      </c>
      <c r="P50" s="148">
        <f>0</f>
        <v>0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0.0931</f>
        <v>0.0931</v>
      </c>
      <c r="D51" s="121">
        <f>0.056</f>
        <v>0.056</v>
      </c>
      <c r="E51" s="121">
        <f>0.044</f>
        <v>0.044</v>
      </c>
      <c r="F51" s="121">
        <f>0.0607</f>
        <v>0.0607</v>
      </c>
      <c r="G51" s="121">
        <f>0.0636</f>
        <v>0.0636</v>
      </c>
      <c r="H51" s="121">
        <f>0.0621</f>
        <v>0.0621</v>
      </c>
      <c r="I51" s="121">
        <f>0.0684</f>
        <v>0.0684</v>
      </c>
      <c r="J51" s="121">
        <f>0.0744</f>
        <v>0.0744</v>
      </c>
      <c r="K51" s="121">
        <f>0.084</f>
        <v>0.084</v>
      </c>
      <c r="L51" s="121">
        <f>0.0775</f>
        <v>0.0775</v>
      </c>
      <c r="M51" s="121">
        <f>0.0825</f>
        <v>0.0825</v>
      </c>
      <c r="N51" s="121">
        <f>0</f>
        <v>0</v>
      </c>
      <c r="O51" s="121">
        <f>0</f>
        <v>0</v>
      </c>
      <c r="P51" s="121">
        <f>0</f>
        <v>0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0.1176</f>
        <v>0.1176</v>
      </c>
      <c r="D52" s="121">
        <f>0.14</f>
        <v>0.14</v>
      </c>
      <c r="E52" s="121">
        <f>0.0434</f>
        <v>0.0434</v>
      </c>
      <c r="F52" s="121">
        <f>0.0593</f>
        <v>0.0593</v>
      </c>
      <c r="G52" s="121">
        <f>0.0592</f>
        <v>0.0592</v>
      </c>
      <c r="H52" s="121">
        <f>0.062</f>
        <v>0.062</v>
      </c>
      <c r="I52" s="121">
        <f>0.0649</f>
        <v>0.0649</v>
      </c>
      <c r="J52" s="121">
        <f>0.0734</f>
        <v>0.0734</v>
      </c>
      <c r="K52" s="121">
        <f>0.0203</f>
        <v>0.0203</v>
      </c>
      <c r="L52" s="121">
        <f>0.0728</f>
        <v>0.0728</v>
      </c>
      <c r="M52" s="121">
        <f>0.0476</f>
        <v>0.0476</v>
      </c>
      <c r="N52" s="121">
        <f>0</f>
        <v>0</v>
      </c>
      <c r="O52" s="121">
        <f>0</f>
        <v>0</v>
      </c>
      <c r="P52" s="121">
        <f>0</f>
        <v>0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Nie spełnia art. 243</v>
      </c>
      <c r="D53" s="123" t="str">
        <f aca="true" t="shared" si="1" ref="D53:AD53">IF(D52&lt;=D$51,"Spełnia  art. 243","Nie spełnia art. 243")</f>
        <v>Nie spełnia art. 243</v>
      </c>
      <c r="E53" s="123" t="str">
        <f t="shared" si="1"/>
        <v>Spełnia  art. 243</v>
      </c>
      <c r="F53" s="123" t="str">
        <f t="shared" si="1"/>
        <v>Spełnia  art. 243</v>
      </c>
      <c r="G53" s="123" t="str">
        <f t="shared" si="1"/>
        <v>Spełnia  art. 243</v>
      </c>
      <c r="H53" s="123" t="str">
        <f t="shared" si="1"/>
        <v>Spełnia  art. 243</v>
      </c>
      <c r="I53" s="123" t="str">
        <f t="shared" si="1"/>
        <v>Spełnia  art. 243</v>
      </c>
      <c r="J53" s="123" t="str">
        <f t="shared" si="1"/>
        <v>Spełnia  art. 243</v>
      </c>
      <c r="K53" s="123" t="str">
        <f t="shared" si="1"/>
        <v>Spełnia  art. 243</v>
      </c>
      <c r="L53" s="123" t="str">
        <f t="shared" si="1"/>
        <v>Spełnia  art. 243</v>
      </c>
      <c r="M53" s="123" t="str">
        <f t="shared" si="1"/>
        <v>Spełnia  art. 243</v>
      </c>
      <c r="N53" s="123" t="str">
        <f t="shared" si="1"/>
        <v>Spełnia  art. 243</v>
      </c>
      <c r="O53" s="123" t="str">
        <f t="shared" si="1"/>
        <v>Spełnia  art. 243</v>
      </c>
      <c r="P53" s="123" t="str">
        <f t="shared" si="1"/>
        <v>Spełnia  art. 243</v>
      </c>
      <c r="Q53" s="123" t="str">
        <f t="shared" si="1"/>
        <v>Spełnia  art. 243</v>
      </c>
      <c r="R53" s="123" t="str">
        <f t="shared" si="1"/>
        <v>Spełnia  art. 243</v>
      </c>
      <c r="S53" s="123" t="str">
        <f t="shared" si="1"/>
        <v>Spełnia  art. 243</v>
      </c>
      <c r="T53" s="123" t="str">
        <f t="shared" si="1"/>
        <v>Spełnia  art. 243</v>
      </c>
      <c r="U53" s="123" t="str">
        <f t="shared" si="1"/>
        <v>Spełnia  art. 243</v>
      </c>
      <c r="V53" s="123" t="str">
        <f t="shared" si="1"/>
        <v>Spełnia  art. 243</v>
      </c>
      <c r="W53" s="123" t="str">
        <f t="shared" si="1"/>
        <v>Spełnia  art. 243</v>
      </c>
      <c r="X53" s="123" t="str">
        <f t="shared" si="1"/>
        <v>Spełnia  art. 243</v>
      </c>
      <c r="Y53" s="123" t="str">
        <f t="shared" si="1"/>
        <v>Spełnia  art. 243</v>
      </c>
      <c r="Z53" s="123" t="str">
        <f t="shared" si="1"/>
        <v>Spełnia  art. 243</v>
      </c>
      <c r="AA53" s="123" t="str">
        <f t="shared" si="1"/>
        <v>Spełnia  art. 243</v>
      </c>
      <c r="AB53" s="123" t="str">
        <f t="shared" si="1"/>
        <v>Spełnia  art. 243</v>
      </c>
      <c r="AC53" s="123" t="str">
        <f t="shared" si="1"/>
        <v>Spełnia  art. 243</v>
      </c>
      <c r="AD53" s="123" t="str">
        <f t="shared" si="1"/>
        <v>Spełnia  art. 243</v>
      </c>
      <c r="AE53" s="123" t="str">
        <f aca="true" t="shared" si="2" ref="AE53:AO53">IF(AE52&lt;=AE$51,"Spełnia  art. 243","Nie spełnia art. 243")</f>
        <v>Spełnia  art. 243</v>
      </c>
      <c r="AF53" s="123" t="str">
        <f t="shared" si="2"/>
        <v>Spełnia  art. 243</v>
      </c>
      <c r="AG53" s="123" t="str">
        <f t="shared" si="2"/>
        <v>Spełnia  art. 243</v>
      </c>
      <c r="AH53" s="123" t="str">
        <f t="shared" si="2"/>
        <v>Spełnia  art. 243</v>
      </c>
      <c r="AI53" s="123" t="str">
        <f t="shared" si="2"/>
        <v>Spełnia  art. 243</v>
      </c>
      <c r="AJ53" s="123" t="str">
        <f t="shared" si="2"/>
        <v>Spełnia  art. 243</v>
      </c>
      <c r="AK53" s="123" t="str">
        <f t="shared" si="2"/>
        <v>Spełnia  art. 243</v>
      </c>
      <c r="AL53" s="123" t="str">
        <f t="shared" si="2"/>
        <v>Spełnia  art. 243</v>
      </c>
      <c r="AM53" s="123" t="str">
        <f t="shared" si="2"/>
        <v>Spełnia  art. 243</v>
      </c>
      <c r="AN53" s="123" t="str">
        <f t="shared" si="2"/>
        <v>Spełnia  art. 243</v>
      </c>
      <c r="AO53" s="123" t="str">
        <f t="shared" si="2"/>
        <v>Spełnia  art. 243</v>
      </c>
    </row>
    <row r="54" spans="1:41" ht="25.5">
      <c r="A54" s="124">
        <v>22</v>
      </c>
      <c r="B54" s="125" t="s">
        <v>79</v>
      </c>
      <c r="C54" s="121">
        <f>0.1176</f>
        <v>0.1176</v>
      </c>
      <c r="D54" s="121">
        <f>0.14</f>
        <v>0.14</v>
      </c>
      <c r="E54" s="121">
        <f>0.0434</f>
        <v>0.0434</v>
      </c>
      <c r="F54" s="121">
        <f>0.0593</f>
        <v>0.0593</v>
      </c>
      <c r="G54" s="121">
        <f>0.0592</f>
        <v>0.0592</v>
      </c>
      <c r="H54" s="121">
        <f>0.062</f>
        <v>0.062</v>
      </c>
      <c r="I54" s="121">
        <f>0.0649</f>
        <v>0.0649</v>
      </c>
      <c r="J54" s="121">
        <f>0.0734</f>
        <v>0.0734</v>
      </c>
      <c r="K54" s="121">
        <f>0.0203</f>
        <v>0.0203</v>
      </c>
      <c r="L54" s="121">
        <f>0.0728</f>
        <v>0.0728</v>
      </c>
      <c r="M54" s="121">
        <f>0.0476</f>
        <v>0.0476</v>
      </c>
      <c r="N54" s="121">
        <f>0</f>
        <v>0</v>
      </c>
      <c r="O54" s="121">
        <f>0</f>
        <v>0</v>
      </c>
      <c r="P54" s="121">
        <f>0</f>
        <v>0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Nie spełnia art. 243</v>
      </c>
      <c r="D55" s="153" t="str">
        <f aca="true" t="shared" si="3" ref="D55:AD55">IF(D54&lt;=D$51,"Spełnia  art. 243","Nie spełnia art. 243")</f>
        <v>Nie spełnia art. 243</v>
      </c>
      <c r="E55" s="153" t="str">
        <f t="shared" si="3"/>
        <v>Spełnia  art. 243</v>
      </c>
      <c r="F55" s="153" t="str">
        <f t="shared" si="3"/>
        <v>Spełnia  art. 243</v>
      </c>
      <c r="G55" s="153" t="str">
        <f t="shared" si="3"/>
        <v>Spełnia  art. 243</v>
      </c>
      <c r="H55" s="153" t="str">
        <f t="shared" si="3"/>
        <v>Spełnia  art. 243</v>
      </c>
      <c r="I55" s="153" t="str">
        <f t="shared" si="3"/>
        <v>Spełnia  art. 243</v>
      </c>
      <c r="J55" s="153" t="str">
        <f t="shared" si="3"/>
        <v>Spełnia  art. 243</v>
      </c>
      <c r="K55" s="153" t="str">
        <f t="shared" si="3"/>
        <v>Spełnia  art. 243</v>
      </c>
      <c r="L55" s="153" t="str">
        <f t="shared" si="3"/>
        <v>Spełnia  art. 243</v>
      </c>
      <c r="M55" s="153" t="str">
        <f t="shared" si="3"/>
        <v>Spełnia  art. 243</v>
      </c>
      <c r="N55" s="153" t="str">
        <f t="shared" si="3"/>
        <v>Spełnia  art. 243</v>
      </c>
      <c r="O55" s="153" t="str">
        <f t="shared" si="3"/>
        <v>Spełnia  art. 243</v>
      </c>
      <c r="P55" s="153" t="str">
        <f t="shared" si="3"/>
        <v>Spełnia  art. 243</v>
      </c>
      <c r="Q55" s="153" t="str">
        <f t="shared" si="3"/>
        <v>Spełnia  art. 243</v>
      </c>
      <c r="R55" s="153" t="str">
        <f t="shared" si="3"/>
        <v>Spełnia  art. 243</v>
      </c>
      <c r="S55" s="153" t="str">
        <f t="shared" si="3"/>
        <v>Spełnia  art. 243</v>
      </c>
      <c r="T55" s="153" t="str">
        <f t="shared" si="3"/>
        <v>Spełnia  art. 243</v>
      </c>
      <c r="U55" s="153" t="str">
        <f t="shared" si="3"/>
        <v>Spełnia  art. 243</v>
      </c>
      <c r="V55" s="153" t="str">
        <f t="shared" si="3"/>
        <v>Spełnia  art. 243</v>
      </c>
      <c r="W55" s="153" t="str">
        <f t="shared" si="3"/>
        <v>Spełnia  art. 243</v>
      </c>
      <c r="X55" s="153" t="str">
        <f t="shared" si="3"/>
        <v>Spełnia  art. 243</v>
      </c>
      <c r="Y55" s="153" t="str">
        <f t="shared" si="3"/>
        <v>Spełnia  art. 243</v>
      </c>
      <c r="Z55" s="153" t="str">
        <f t="shared" si="3"/>
        <v>Spełnia  art. 243</v>
      </c>
      <c r="AA55" s="153" t="str">
        <f t="shared" si="3"/>
        <v>Spełnia  art. 243</v>
      </c>
      <c r="AB55" s="153" t="str">
        <f t="shared" si="3"/>
        <v>Spełnia  art. 243</v>
      </c>
      <c r="AC55" s="153" t="str">
        <f t="shared" si="3"/>
        <v>Spełnia  art. 243</v>
      </c>
      <c r="AD55" s="153" t="str">
        <f t="shared" si="3"/>
        <v>Spełnia  art. 243</v>
      </c>
      <c r="AE55" s="153" t="str">
        <f aca="true" t="shared" si="4" ref="AE55:AO55">IF(AE54&lt;=AE$51,"Spełnia  art. 243","Nie spełnia art. 243")</f>
        <v>Spełnia  art. 243</v>
      </c>
      <c r="AF55" s="153" t="str">
        <f t="shared" si="4"/>
        <v>Spełnia  art. 243</v>
      </c>
      <c r="AG55" s="153" t="str">
        <f t="shared" si="4"/>
        <v>Spełnia  art. 243</v>
      </c>
      <c r="AH55" s="153" t="str">
        <f t="shared" si="4"/>
        <v>Spełnia  art. 243</v>
      </c>
      <c r="AI55" s="153" t="str">
        <f t="shared" si="4"/>
        <v>Spełnia  art. 243</v>
      </c>
      <c r="AJ55" s="153" t="str">
        <f t="shared" si="4"/>
        <v>Spełnia  art. 243</v>
      </c>
      <c r="AK55" s="153" t="str">
        <f t="shared" si="4"/>
        <v>Spełnia  art. 243</v>
      </c>
      <c r="AL55" s="153" t="str">
        <f t="shared" si="4"/>
        <v>Spełnia  art. 243</v>
      </c>
      <c r="AM55" s="153" t="str">
        <f t="shared" si="4"/>
        <v>Spełnia  art. 243</v>
      </c>
      <c r="AN55" s="153" t="str">
        <f t="shared" si="4"/>
        <v>Spełnia  art. 243</v>
      </c>
      <c r="AO55" s="153" t="str">
        <f t="shared" si="4"/>
        <v>Spełnia  art. 243</v>
      </c>
    </row>
    <row r="56" spans="1:41" ht="12.75">
      <c r="A56" s="154">
        <v>23</v>
      </c>
      <c r="B56" s="155" t="s">
        <v>151</v>
      </c>
      <c r="C56" s="139">
        <f>28620205.19</f>
        <v>28620205.19</v>
      </c>
      <c r="D56" s="139">
        <f>29768833</f>
        <v>29768833</v>
      </c>
      <c r="E56" s="139">
        <f>30279363</f>
        <v>30279363</v>
      </c>
      <c r="F56" s="139">
        <f>31000274</f>
        <v>31000274</v>
      </c>
      <c r="G56" s="139">
        <f>31983475</f>
        <v>31983475</v>
      </c>
      <c r="H56" s="139">
        <f>32991479</f>
        <v>32991479</v>
      </c>
      <c r="I56" s="139">
        <f>33878223</f>
        <v>33878223</v>
      </c>
      <c r="J56" s="139">
        <f>34994570</f>
        <v>34994570</v>
      </c>
      <c r="K56" s="139">
        <f>35241407</f>
        <v>35241407</v>
      </c>
      <c r="L56" s="139">
        <f>37019649</f>
        <v>37019649</v>
      </c>
      <c r="M56" s="139">
        <f>38130238</f>
        <v>38130238</v>
      </c>
      <c r="N56" s="139">
        <f>0</f>
        <v>0</v>
      </c>
      <c r="O56" s="139">
        <f>0</f>
        <v>0</v>
      </c>
      <c r="P56" s="139">
        <f>0</f>
        <v>0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26966574.89</f>
        <v>26966574.89</v>
      </c>
      <c r="D57" s="117">
        <f>27585233</f>
        <v>27585233</v>
      </c>
      <c r="E57" s="117">
        <f>28351737</f>
        <v>28351737</v>
      </c>
      <c r="F57" s="117">
        <f>29036008</f>
        <v>29036008</v>
      </c>
      <c r="G57" s="117">
        <f>29788344</f>
        <v>29788344</v>
      </c>
      <c r="H57" s="117">
        <f>30366241</f>
        <v>30366241</v>
      </c>
      <c r="I57" s="117">
        <f>31221747</f>
        <v>31221747</v>
      </c>
      <c r="J57" s="117">
        <f>31702291</f>
        <v>31702291</v>
      </c>
      <c r="K57" s="117">
        <f>33131348</f>
        <v>33131348</v>
      </c>
      <c r="L57" s="117">
        <f>33556802</f>
        <v>33556802</v>
      </c>
      <c r="M57" s="117">
        <f>34328608</f>
        <v>34328608</v>
      </c>
      <c r="N57" s="117">
        <f>0</f>
        <v>0</v>
      </c>
      <c r="O57" s="117">
        <f>0</f>
        <v>0</v>
      </c>
      <c r="P57" s="117">
        <f>0</f>
        <v>0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1653630.3</f>
        <v>1653630.3</v>
      </c>
      <c r="D58" s="130">
        <f>2183600</f>
        <v>2183600</v>
      </c>
      <c r="E58" s="130">
        <f>1927626</f>
        <v>1927626</v>
      </c>
      <c r="F58" s="130">
        <f>1964266</f>
        <v>1964266</v>
      </c>
      <c r="G58" s="130">
        <f>2195131</f>
        <v>2195131</v>
      </c>
      <c r="H58" s="130">
        <f>2625238</f>
        <v>2625238</v>
      </c>
      <c r="I58" s="130">
        <f>2656476</f>
        <v>2656476</v>
      </c>
      <c r="J58" s="130">
        <f>3292279</f>
        <v>3292279</v>
      </c>
      <c r="K58" s="130">
        <f>2110059</f>
        <v>2110059</v>
      </c>
      <c r="L58" s="130">
        <f>3462847</f>
        <v>3462847</v>
      </c>
      <c r="M58" s="130">
        <f>3801630</f>
        <v>3801630</v>
      </c>
      <c r="N58" s="130">
        <f>0</f>
        <v>0</v>
      </c>
      <c r="O58" s="130">
        <f>0</f>
        <v>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195</v>
      </c>
      <c r="C59" s="139">
        <f>+C10</f>
        <v>3371624</v>
      </c>
      <c r="D59" s="139">
        <f aca="true" t="shared" si="5" ref="D59:AO59">+D10</f>
        <v>1515000</v>
      </c>
      <c r="E59" s="139">
        <f t="shared" si="5"/>
        <v>1515000</v>
      </c>
      <c r="F59" s="139">
        <f t="shared" si="5"/>
        <v>1515000</v>
      </c>
      <c r="G59" s="139">
        <f t="shared" si="5"/>
        <v>1615313</v>
      </c>
      <c r="H59" s="139">
        <f t="shared" si="5"/>
        <v>0</v>
      </c>
      <c r="I59" s="139">
        <f t="shared" si="5"/>
        <v>0</v>
      </c>
      <c r="J59" s="139">
        <f t="shared" si="5"/>
        <v>0</v>
      </c>
      <c r="K59" s="139">
        <f t="shared" si="5"/>
        <v>0</v>
      </c>
      <c r="L59" s="139">
        <f t="shared" si="5"/>
        <v>0</v>
      </c>
      <c r="M59" s="139">
        <f t="shared" si="5"/>
        <v>0</v>
      </c>
      <c r="N59" s="139">
        <f t="shared" si="5"/>
        <v>0</v>
      </c>
      <c r="O59" s="139">
        <f t="shared" si="5"/>
        <v>0</v>
      </c>
      <c r="P59" s="139">
        <f t="shared" si="5"/>
        <v>0</v>
      </c>
      <c r="Q59" s="139">
        <f t="shared" si="5"/>
        <v>0</v>
      </c>
      <c r="R59" s="139">
        <f t="shared" si="5"/>
        <v>0</v>
      </c>
      <c r="S59" s="139">
        <f t="shared" si="5"/>
        <v>0</v>
      </c>
      <c r="T59" s="139">
        <f t="shared" si="5"/>
        <v>0</v>
      </c>
      <c r="U59" s="139">
        <f t="shared" si="5"/>
        <v>0</v>
      </c>
      <c r="V59" s="139">
        <f t="shared" si="5"/>
        <v>0</v>
      </c>
      <c r="W59" s="139">
        <f t="shared" si="5"/>
        <v>0</v>
      </c>
      <c r="X59" s="139">
        <f t="shared" si="5"/>
        <v>0</v>
      </c>
      <c r="Y59" s="139">
        <f t="shared" si="5"/>
        <v>0</v>
      </c>
      <c r="Z59" s="139">
        <f t="shared" si="5"/>
        <v>0</v>
      </c>
      <c r="AA59" s="139">
        <f t="shared" si="5"/>
        <v>0</v>
      </c>
      <c r="AB59" s="139">
        <f t="shared" si="5"/>
        <v>0</v>
      </c>
      <c r="AC59" s="139">
        <f t="shared" si="5"/>
        <v>0</v>
      </c>
      <c r="AD59" s="139">
        <f t="shared" si="5"/>
        <v>0</v>
      </c>
      <c r="AE59" s="139">
        <f t="shared" si="5"/>
        <v>0</v>
      </c>
      <c r="AF59" s="139">
        <f t="shared" si="5"/>
        <v>0</v>
      </c>
      <c r="AG59" s="139">
        <f t="shared" si="5"/>
        <v>0</v>
      </c>
      <c r="AH59" s="139">
        <f t="shared" si="5"/>
        <v>0</v>
      </c>
      <c r="AI59" s="139">
        <f t="shared" si="5"/>
        <v>0</v>
      </c>
      <c r="AJ59" s="139">
        <f t="shared" si="5"/>
        <v>0</v>
      </c>
      <c r="AK59" s="139">
        <f t="shared" si="5"/>
        <v>0</v>
      </c>
      <c r="AL59" s="139">
        <f t="shared" si="5"/>
        <v>0</v>
      </c>
      <c r="AM59" s="139">
        <f t="shared" si="5"/>
        <v>0</v>
      </c>
      <c r="AN59" s="139">
        <f t="shared" si="5"/>
        <v>0</v>
      </c>
      <c r="AO59" s="139">
        <f t="shared" si="5"/>
        <v>0</v>
      </c>
    </row>
    <row r="60" spans="1:41" ht="12.75">
      <c r="A60" s="126"/>
      <c r="B60" s="127" t="s">
        <v>196</v>
      </c>
      <c r="C60" s="117">
        <f>+C33</f>
        <v>5523702.3</v>
      </c>
      <c r="D60" s="117">
        <f aca="true" t="shared" si="6" ref="D60:AO60">+D33</f>
        <v>3068000</v>
      </c>
      <c r="E60" s="117">
        <f t="shared" si="6"/>
        <v>3068000</v>
      </c>
      <c r="F60" s="117">
        <f t="shared" si="6"/>
        <v>3068000</v>
      </c>
      <c r="G60" s="117">
        <f t="shared" si="6"/>
        <v>3372147</v>
      </c>
      <c r="H60" s="117">
        <f t="shared" si="6"/>
        <v>931238</v>
      </c>
      <c r="I60" s="117">
        <f t="shared" si="6"/>
        <v>706476</v>
      </c>
      <c r="J60" s="117">
        <f t="shared" si="6"/>
        <v>842279</v>
      </c>
      <c r="K60" s="117">
        <f t="shared" si="6"/>
        <v>1610059</v>
      </c>
      <c r="L60" s="117">
        <f t="shared" si="6"/>
        <v>896271</v>
      </c>
      <c r="M60" s="117">
        <f t="shared" si="6"/>
        <v>2107995</v>
      </c>
      <c r="N60" s="117">
        <f t="shared" si="6"/>
        <v>0</v>
      </c>
      <c r="O60" s="117">
        <f t="shared" si="6"/>
        <v>0</v>
      </c>
      <c r="P60" s="117">
        <f t="shared" si="6"/>
        <v>0</v>
      </c>
      <c r="Q60" s="117">
        <f t="shared" si="6"/>
        <v>0</v>
      </c>
      <c r="R60" s="117">
        <f t="shared" si="6"/>
        <v>0</v>
      </c>
      <c r="S60" s="117">
        <f t="shared" si="6"/>
        <v>0</v>
      </c>
      <c r="T60" s="117">
        <f t="shared" si="6"/>
        <v>0</v>
      </c>
      <c r="U60" s="117">
        <f t="shared" si="6"/>
        <v>0</v>
      </c>
      <c r="V60" s="117">
        <f t="shared" si="6"/>
        <v>0</v>
      </c>
      <c r="W60" s="117">
        <f t="shared" si="6"/>
        <v>0</v>
      </c>
      <c r="X60" s="117">
        <f t="shared" si="6"/>
        <v>0</v>
      </c>
      <c r="Y60" s="117">
        <f t="shared" si="6"/>
        <v>0</v>
      </c>
      <c r="Z60" s="117">
        <f t="shared" si="6"/>
        <v>0</v>
      </c>
      <c r="AA60" s="117">
        <f t="shared" si="6"/>
        <v>0</v>
      </c>
      <c r="AB60" s="117">
        <f t="shared" si="6"/>
        <v>0</v>
      </c>
      <c r="AC60" s="117">
        <f t="shared" si="6"/>
        <v>0</v>
      </c>
      <c r="AD60" s="117">
        <f t="shared" si="6"/>
        <v>0</v>
      </c>
      <c r="AE60" s="117">
        <f t="shared" si="6"/>
        <v>0</v>
      </c>
      <c r="AF60" s="117">
        <f t="shared" si="6"/>
        <v>0</v>
      </c>
      <c r="AG60" s="117">
        <f t="shared" si="6"/>
        <v>0</v>
      </c>
      <c r="AH60" s="117">
        <f t="shared" si="6"/>
        <v>0</v>
      </c>
      <c r="AI60" s="117">
        <f t="shared" si="6"/>
        <v>0</v>
      </c>
      <c r="AJ60" s="117">
        <f t="shared" si="6"/>
        <v>0</v>
      </c>
      <c r="AK60" s="117">
        <f t="shared" si="6"/>
        <v>0</v>
      </c>
      <c r="AL60" s="117">
        <f t="shared" si="6"/>
        <v>0</v>
      </c>
      <c r="AM60" s="117">
        <f t="shared" si="6"/>
        <v>0</v>
      </c>
      <c r="AN60" s="117">
        <f t="shared" si="6"/>
        <v>0</v>
      </c>
      <c r="AO60" s="117">
        <f t="shared" si="6"/>
        <v>0</v>
      </c>
    </row>
    <row r="61" spans="1:41" ht="12.75">
      <c r="A61" s="151"/>
      <c r="B61" s="156" t="s">
        <v>194</v>
      </c>
      <c r="C61" s="130">
        <f>+C59-C60</f>
        <v>-2152078.3</v>
      </c>
      <c r="D61" s="130">
        <f aca="true" t="shared" si="7" ref="D61:AO61">+D59-D60</f>
        <v>-1553000</v>
      </c>
      <c r="E61" s="130">
        <f t="shared" si="7"/>
        <v>-1553000</v>
      </c>
      <c r="F61" s="130">
        <f t="shared" si="7"/>
        <v>-1553000</v>
      </c>
      <c r="G61" s="130">
        <f t="shared" si="7"/>
        <v>-1756834</v>
      </c>
      <c r="H61" s="130">
        <f t="shared" si="7"/>
        <v>-931238</v>
      </c>
      <c r="I61" s="130">
        <f t="shared" si="7"/>
        <v>-706476</v>
      </c>
      <c r="J61" s="130">
        <f t="shared" si="7"/>
        <v>-842279</v>
      </c>
      <c r="K61" s="130">
        <f t="shared" si="7"/>
        <v>-1610059</v>
      </c>
      <c r="L61" s="130">
        <f t="shared" si="7"/>
        <v>-896271</v>
      </c>
      <c r="M61" s="130">
        <f t="shared" si="7"/>
        <v>-2107995</v>
      </c>
      <c r="N61" s="130">
        <f t="shared" si="7"/>
        <v>0</v>
      </c>
      <c r="O61" s="130">
        <f t="shared" si="7"/>
        <v>0</v>
      </c>
      <c r="P61" s="130">
        <f t="shared" si="7"/>
        <v>0</v>
      </c>
      <c r="Q61" s="130">
        <f t="shared" si="7"/>
        <v>0</v>
      </c>
      <c r="R61" s="130">
        <f t="shared" si="7"/>
        <v>0</v>
      </c>
      <c r="S61" s="130">
        <f t="shared" si="7"/>
        <v>0</v>
      </c>
      <c r="T61" s="130">
        <f t="shared" si="7"/>
        <v>0</v>
      </c>
      <c r="U61" s="130">
        <f t="shared" si="7"/>
        <v>0</v>
      </c>
      <c r="V61" s="130">
        <f t="shared" si="7"/>
        <v>0</v>
      </c>
      <c r="W61" s="130">
        <f t="shared" si="7"/>
        <v>0</v>
      </c>
      <c r="X61" s="130">
        <f t="shared" si="7"/>
        <v>0</v>
      </c>
      <c r="Y61" s="130">
        <f t="shared" si="7"/>
        <v>0</v>
      </c>
      <c r="Z61" s="130">
        <f t="shared" si="7"/>
        <v>0</v>
      </c>
      <c r="AA61" s="130">
        <f t="shared" si="7"/>
        <v>0</v>
      </c>
      <c r="AB61" s="130">
        <f t="shared" si="7"/>
        <v>0</v>
      </c>
      <c r="AC61" s="130">
        <f t="shared" si="7"/>
        <v>0</v>
      </c>
      <c r="AD61" s="130">
        <f t="shared" si="7"/>
        <v>0</v>
      </c>
      <c r="AE61" s="130">
        <f t="shared" si="7"/>
        <v>0</v>
      </c>
      <c r="AF61" s="130">
        <f t="shared" si="7"/>
        <v>0</v>
      </c>
      <c r="AG61" s="130">
        <f t="shared" si="7"/>
        <v>0</v>
      </c>
      <c r="AH61" s="130">
        <f t="shared" si="7"/>
        <v>0</v>
      </c>
      <c r="AI61" s="130">
        <f t="shared" si="7"/>
        <v>0</v>
      </c>
      <c r="AJ61" s="130">
        <f t="shared" si="7"/>
        <v>0</v>
      </c>
      <c r="AK61" s="130">
        <f t="shared" si="7"/>
        <v>0</v>
      </c>
      <c r="AL61" s="130">
        <f t="shared" si="7"/>
        <v>0</v>
      </c>
      <c r="AM61" s="130">
        <f t="shared" si="7"/>
        <v>0</v>
      </c>
      <c r="AN61" s="130">
        <f t="shared" si="7"/>
        <v>0</v>
      </c>
      <c r="AO61" s="130">
        <f t="shared" si="7"/>
        <v>0</v>
      </c>
    </row>
    <row r="62" spans="1:41" ht="12.75">
      <c r="A62" s="154">
        <v>26</v>
      </c>
      <c r="B62" s="155" t="s">
        <v>153</v>
      </c>
      <c r="C62" s="139">
        <f>31991829.19</f>
        <v>31991829.19</v>
      </c>
      <c r="D62" s="139">
        <f>31283833</f>
        <v>31283833</v>
      </c>
      <c r="E62" s="139">
        <f>31794363</f>
        <v>31794363</v>
      </c>
      <c r="F62" s="139">
        <f>32515274</f>
        <v>32515274</v>
      </c>
      <c r="G62" s="139">
        <f>33598788</f>
        <v>33598788</v>
      </c>
      <c r="H62" s="139">
        <f>32991479</f>
        <v>32991479</v>
      </c>
      <c r="I62" s="139">
        <f>33878223</f>
        <v>33878223</v>
      </c>
      <c r="J62" s="139">
        <f>34994570</f>
        <v>34994570</v>
      </c>
      <c r="K62" s="139">
        <f>35241407</f>
        <v>35241407</v>
      </c>
      <c r="L62" s="139">
        <f>37019649</f>
        <v>37019649</v>
      </c>
      <c r="M62" s="139">
        <f>38130238</f>
        <v>38130238</v>
      </c>
      <c r="N62" s="139">
        <f>0</f>
        <v>0</v>
      </c>
      <c r="O62" s="139">
        <f>0</f>
        <v>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32490277.19</f>
        <v>32490277.19</v>
      </c>
      <c r="D63" s="117">
        <f>30653233</f>
        <v>30653233</v>
      </c>
      <c r="E63" s="117">
        <f>31419737</f>
        <v>31419737</v>
      </c>
      <c r="F63" s="117">
        <f>32104008</f>
        <v>32104008</v>
      </c>
      <c r="G63" s="117">
        <f>33160491</f>
        <v>33160491</v>
      </c>
      <c r="H63" s="117">
        <f>31297479</f>
        <v>31297479</v>
      </c>
      <c r="I63" s="117">
        <f>31928223</f>
        <v>31928223</v>
      </c>
      <c r="J63" s="117">
        <f>32544570</f>
        <v>32544570</v>
      </c>
      <c r="K63" s="117">
        <f>34741407</f>
        <v>34741407</v>
      </c>
      <c r="L63" s="117">
        <f>34453073</f>
        <v>34453073</v>
      </c>
      <c r="M63" s="117">
        <f>36436603</f>
        <v>36436603</v>
      </c>
      <c r="N63" s="117">
        <f>0</f>
        <v>0</v>
      </c>
      <c r="O63" s="117">
        <f>0</f>
        <v>0</v>
      </c>
      <c r="P63" s="117">
        <f>0</f>
        <v>0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-498448</f>
        <v>-498448</v>
      </c>
      <c r="D64" s="130">
        <f>630600</f>
        <v>630600</v>
      </c>
      <c r="E64" s="130">
        <f>374626</f>
        <v>374626</v>
      </c>
      <c r="F64" s="130">
        <f>411266</f>
        <v>411266</v>
      </c>
      <c r="G64" s="130">
        <f>438297</f>
        <v>438297</v>
      </c>
      <c r="H64" s="130">
        <f>1694000</f>
        <v>1694000</v>
      </c>
      <c r="I64" s="130">
        <f>1950000</f>
        <v>1950000</v>
      </c>
      <c r="J64" s="130">
        <f>2450000</f>
        <v>2450000</v>
      </c>
      <c r="K64" s="130">
        <f>500000</f>
        <v>500000</v>
      </c>
      <c r="L64" s="130">
        <f>2566576</f>
        <v>2566576</v>
      </c>
      <c r="M64" s="130">
        <f>1693635</f>
        <v>1693635</v>
      </c>
      <c r="N64" s="130">
        <f>0</f>
        <v>0</v>
      </c>
      <c r="O64" s="130">
        <f>0</f>
        <v>0</v>
      </c>
      <c r="P64" s="130">
        <f>0</f>
        <v>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3659400</f>
        <v>3659400</v>
      </c>
      <c r="D65" s="138">
        <f>3040000</f>
        <v>3040000</v>
      </c>
      <c r="E65" s="138">
        <f>406374</f>
        <v>406374</v>
      </c>
      <c r="F65" s="138">
        <f>985634</f>
        <v>985634</v>
      </c>
      <c r="G65" s="138">
        <f>1061703</f>
        <v>1061703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3160952</f>
        <v>3160952</v>
      </c>
      <c r="D66" s="130">
        <f>3670600</f>
        <v>3670600</v>
      </c>
      <c r="E66" s="130">
        <f>781000</f>
        <v>781000</v>
      </c>
      <c r="F66" s="130">
        <f>1396900</f>
        <v>1396900</v>
      </c>
      <c r="G66" s="130">
        <f>1500000</f>
        <v>1500000</v>
      </c>
      <c r="H66" s="130">
        <f>1694000</f>
        <v>1694000</v>
      </c>
      <c r="I66" s="130">
        <f>1950000</f>
        <v>1950000</v>
      </c>
      <c r="J66" s="130">
        <f>2450000</f>
        <v>2450000</v>
      </c>
      <c r="K66" s="130">
        <f>500000</f>
        <v>500000</v>
      </c>
      <c r="L66" s="130">
        <f>2566576</f>
        <v>2566576</v>
      </c>
      <c r="M66" s="130">
        <f>1693635</f>
        <v>1693635</v>
      </c>
      <c r="N66" s="130">
        <f>0</f>
        <v>0</v>
      </c>
      <c r="O66" s="130">
        <f>0</f>
        <v>0</v>
      </c>
      <c r="P66" s="130">
        <f>0</f>
        <v>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7874015748031497" bottom="0.3937007874015748" header="0.31496062992125984" footer="0.31496062992125984"/>
  <pageSetup blackAndWhite="1" fitToHeight="1" fitToWidth="1" horizontalDpi="600" verticalDpi="600" orientation="landscape" paperSize="8" scale="73" r:id="rId1"/>
  <headerFooter>
    <oddHeader>&amp;C&amp;16Wieloletnia Prognoza Finansowa Gminy Jedlnia-Letnisko na lata 2012-2022&amp;R&amp;14Załącznik Nr 1 do Uchwały Nr XXIV/125/2012
Rady Gminy Jedlnia-Letnisko
z dnia 31 sierpnia 2012 r.</oddHeader>
  </headerFooter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ht="15">
      <c r="A2" s="177" t="s">
        <v>199</v>
      </c>
    </row>
    <row r="3" ht="14.25">
      <c r="A3" s="187" t="s">
        <v>200</v>
      </c>
    </row>
    <row r="5" spans="1:43" ht="15">
      <c r="A5" s="183" t="s">
        <v>201</v>
      </c>
      <c r="B5" s="184" t="s">
        <v>202</v>
      </c>
      <c r="C5" s="184" t="s">
        <v>203</v>
      </c>
      <c r="D5" s="184" t="s">
        <v>204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</row>
    <row r="6" spans="1:43" s="221" customFormat="1" ht="14.25">
      <c r="A6" s="220"/>
      <c r="B6" s="220">
        <v>2009</v>
      </c>
      <c r="C6" s="220">
        <v>2010</v>
      </c>
      <c r="D6" s="220">
        <v>2011</v>
      </c>
      <c r="E6" s="220">
        <v>2012</v>
      </c>
      <c r="F6" s="220">
        <v>2013</v>
      </c>
      <c r="G6" s="220">
        <v>2014</v>
      </c>
      <c r="H6" s="220">
        <v>2015</v>
      </c>
      <c r="I6" s="220">
        <v>2016</v>
      </c>
      <c r="J6" s="220">
        <v>2017</v>
      </c>
      <c r="K6" s="220">
        <v>2018</v>
      </c>
      <c r="L6" s="220">
        <v>2019</v>
      </c>
      <c r="M6" s="220">
        <v>2020</v>
      </c>
      <c r="N6" s="220">
        <v>2021</v>
      </c>
      <c r="O6" s="220">
        <v>2022</v>
      </c>
      <c r="P6" s="220">
        <v>2023</v>
      </c>
      <c r="Q6" s="220">
        <v>2024</v>
      </c>
      <c r="R6" s="220">
        <v>2025</v>
      </c>
      <c r="S6" s="220">
        <v>2026</v>
      </c>
      <c r="T6" s="220">
        <v>2027</v>
      </c>
      <c r="U6" s="220">
        <v>2028</v>
      </c>
      <c r="V6" s="220">
        <v>2029</v>
      </c>
      <c r="W6" s="220">
        <v>2030</v>
      </c>
      <c r="X6" s="220">
        <v>2031</v>
      </c>
      <c r="Y6" s="220">
        <v>2032</v>
      </c>
      <c r="Z6" s="220">
        <v>2033</v>
      </c>
      <c r="AA6" s="220">
        <v>2034</v>
      </c>
      <c r="AB6" s="220">
        <v>2035</v>
      </c>
      <c r="AC6" s="220">
        <v>2036</v>
      </c>
      <c r="AD6" s="220">
        <v>2037</v>
      </c>
      <c r="AE6" s="220">
        <v>2038</v>
      </c>
      <c r="AF6" s="220">
        <v>2039</v>
      </c>
      <c r="AG6" s="220">
        <v>2040</v>
      </c>
      <c r="AH6" s="220">
        <v>2041</v>
      </c>
      <c r="AI6" s="220">
        <v>2042</v>
      </c>
      <c r="AJ6" s="220">
        <v>2043</v>
      </c>
      <c r="AK6" s="220">
        <v>2044</v>
      </c>
      <c r="AL6" s="220">
        <v>2045</v>
      </c>
      <c r="AM6" s="220">
        <v>2046</v>
      </c>
      <c r="AN6" s="220">
        <v>2047</v>
      </c>
      <c r="AO6" s="220">
        <v>2048</v>
      </c>
      <c r="AP6" s="220">
        <v>2049</v>
      </c>
      <c r="AQ6" s="220">
        <v>2050</v>
      </c>
    </row>
    <row r="7" spans="1:43" ht="14.25">
      <c r="A7" s="194" t="s">
        <v>205</v>
      </c>
      <c r="B7" s="215">
        <v>26512924.84</v>
      </c>
      <c r="C7" s="196">
        <v>27259713.55</v>
      </c>
      <c r="D7" s="196">
        <v>26874666.45</v>
      </c>
      <c r="E7" s="188">
        <f>+Zal_1_WPF_uklad_budzetu!C7</f>
        <v>28620205.19</v>
      </c>
      <c r="F7" s="188">
        <f>+Zal_1_WPF_uklad_budzetu!D7</f>
        <v>29768833</v>
      </c>
      <c r="G7" s="188">
        <f>+Zal_1_WPF_uklad_budzetu!E7</f>
        <v>30279363</v>
      </c>
      <c r="H7" s="188">
        <f>+Zal_1_WPF_uklad_budzetu!F7</f>
        <v>31000274</v>
      </c>
      <c r="I7" s="188">
        <f>+Zal_1_WPF_uklad_budzetu!G7</f>
        <v>31983475</v>
      </c>
      <c r="J7" s="188">
        <f>+Zal_1_WPF_uklad_budzetu!H7</f>
        <v>32991479</v>
      </c>
      <c r="K7" s="188">
        <f>+Zal_1_WPF_uklad_budzetu!I7</f>
        <v>33878223</v>
      </c>
      <c r="L7" s="188">
        <f>+Zal_1_WPF_uklad_budzetu!J7</f>
        <v>34994570</v>
      </c>
      <c r="M7" s="188">
        <f>+Zal_1_WPF_uklad_budzetu!K7</f>
        <v>35241407</v>
      </c>
      <c r="N7" s="188">
        <f>+Zal_1_WPF_uklad_budzetu!L7</f>
        <v>37019649</v>
      </c>
      <c r="O7" s="188">
        <f>+Zal_1_WPF_uklad_budzetu!M7</f>
        <v>38130238</v>
      </c>
      <c r="P7" s="188">
        <f>+Zal_1_WPF_uklad_budzetu!N7</f>
        <v>0</v>
      </c>
      <c r="Q7" s="188">
        <f>+Zal_1_WPF_uklad_budzetu!O7</f>
        <v>0</v>
      </c>
      <c r="R7" s="188">
        <f>+Zal_1_WPF_uklad_budzetu!P7</f>
        <v>0</v>
      </c>
      <c r="S7" s="188">
        <f>+Zal_1_WPF_uklad_budzetu!Q7</f>
        <v>0</v>
      </c>
      <c r="T7" s="188">
        <f>+Zal_1_WPF_uklad_budzetu!R7</f>
        <v>0</v>
      </c>
      <c r="U7" s="188">
        <f>+Zal_1_WPF_uklad_budzetu!S7</f>
        <v>0</v>
      </c>
      <c r="V7" s="188">
        <f>+Zal_1_WPF_uklad_budzetu!T7</f>
        <v>0</v>
      </c>
      <c r="W7" s="188">
        <f>+Zal_1_WPF_uklad_budzetu!U7</f>
        <v>0</v>
      </c>
      <c r="X7" s="188">
        <f>+Zal_1_WPF_uklad_budzetu!V7</f>
        <v>0</v>
      </c>
      <c r="Y7" s="188">
        <f>+Zal_1_WPF_uklad_budzetu!W7</f>
        <v>0</v>
      </c>
      <c r="Z7" s="188">
        <f>+Zal_1_WPF_uklad_budzetu!X7</f>
        <v>0</v>
      </c>
      <c r="AA7" s="188">
        <f>+Zal_1_WPF_uklad_budzetu!Y7</f>
        <v>0</v>
      </c>
      <c r="AB7" s="188">
        <f>+Zal_1_WPF_uklad_budzetu!Z7</f>
        <v>0</v>
      </c>
      <c r="AC7" s="188">
        <f>+Zal_1_WPF_uklad_budzetu!AA7</f>
        <v>0</v>
      </c>
      <c r="AD7" s="188">
        <f>+Zal_1_WPF_uklad_budzetu!AB7</f>
        <v>0</v>
      </c>
      <c r="AE7" s="188">
        <f>+Zal_1_WPF_uklad_budzetu!AC7</f>
        <v>0</v>
      </c>
      <c r="AF7" s="188">
        <f>+Zal_1_WPF_uklad_budzetu!AD7</f>
        <v>0</v>
      </c>
      <c r="AG7" s="188">
        <f>+Zal_1_WPF_uklad_budzetu!AE7</f>
        <v>0</v>
      </c>
      <c r="AH7" s="188">
        <f>+Zal_1_WPF_uklad_budzetu!AF7</f>
        <v>0</v>
      </c>
      <c r="AI7" s="188">
        <f>+Zal_1_WPF_uklad_budzetu!AG7</f>
        <v>0</v>
      </c>
      <c r="AJ7" s="188">
        <f>+Zal_1_WPF_uklad_budzetu!AH7</f>
        <v>0</v>
      </c>
      <c r="AK7" s="188">
        <f>+Zal_1_WPF_uklad_budzetu!AI7</f>
        <v>0</v>
      </c>
      <c r="AL7" s="188">
        <f>+Zal_1_WPF_uklad_budzetu!AJ7</f>
        <v>0</v>
      </c>
      <c r="AM7" s="188">
        <f>+Zal_1_WPF_uklad_budzetu!AK7</f>
        <v>0</v>
      </c>
      <c r="AN7" s="188">
        <f>+Zal_1_WPF_uklad_budzetu!AL7</f>
        <v>0</v>
      </c>
      <c r="AO7" s="188">
        <f>+Zal_1_WPF_uklad_budzetu!AM7</f>
        <v>0</v>
      </c>
      <c r="AP7" s="188">
        <f>+Zal_1_WPF_uklad_budzetu!AN7</f>
        <v>0</v>
      </c>
      <c r="AQ7" s="188">
        <f>+Zal_1_WPF_uklad_budzetu!AO7</f>
        <v>0</v>
      </c>
    </row>
    <row r="8" spans="1:43" ht="14.25">
      <c r="A8" s="194" t="s">
        <v>206</v>
      </c>
      <c r="B8" s="215">
        <v>495910</v>
      </c>
      <c r="C8" s="196">
        <v>133119.67</v>
      </c>
      <c r="D8" s="196">
        <v>0</v>
      </c>
      <c r="E8" s="188">
        <f>+Zal_1_WPF_uklad_budzetu!C10</f>
        <v>0</v>
      </c>
      <c r="F8" s="188">
        <f>+Zal_1_WPF_uklad_budzetu!D10</f>
        <v>0</v>
      </c>
      <c r="G8" s="188">
        <f>+Zal_1_WPF_uklad_budzetu!E10</f>
        <v>0</v>
      </c>
      <c r="H8" s="188">
        <f>+Zal_1_WPF_uklad_budzetu!F10</f>
        <v>0</v>
      </c>
      <c r="I8" s="188">
        <f>+Zal_1_WPF_uklad_budzetu!G10</f>
        <v>0</v>
      </c>
      <c r="J8" s="188">
        <f>+Zal_1_WPF_uklad_budzetu!H10</f>
        <v>0</v>
      </c>
      <c r="K8" s="188">
        <f>+Zal_1_WPF_uklad_budzetu!I10</f>
        <v>0</v>
      </c>
      <c r="L8" s="188">
        <f>+Zal_1_WPF_uklad_budzetu!J10</f>
        <v>0</v>
      </c>
      <c r="M8" s="188">
        <f>+Zal_1_WPF_uklad_budzetu!K10</f>
        <v>0</v>
      </c>
      <c r="N8" s="188">
        <f>+Zal_1_WPF_uklad_budzetu!L10</f>
        <v>0</v>
      </c>
      <c r="O8" s="188">
        <f>+Zal_1_WPF_uklad_budzetu!M10</f>
        <v>0</v>
      </c>
      <c r="P8" s="188">
        <f>+Zal_1_WPF_uklad_budzetu!N10</f>
        <v>0</v>
      </c>
      <c r="Q8" s="188">
        <f>+Zal_1_WPF_uklad_budzetu!O10</f>
        <v>0</v>
      </c>
      <c r="R8" s="188">
        <f>+Zal_1_WPF_uklad_budzetu!P10</f>
        <v>0</v>
      </c>
      <c r="S8" s="188">
        <f>+Zal_1_WPF_uklad_budzetu!Q10</f>
        <v>0</v>
      </c>
      <c r="T8" s="188">
        <f>+Zal_1_WPF_uklad_budzetu!R10</f>
        <v>0</v>
      </c>
      <c r="U8" s="188">
        <f>+Zal_1_WPF_uklad_budzetu!S10</f>
        <v>0</v>
      </c>
      <c r="V8" s="188">
        <f>+Zal_1_WPF_uklad_budzetu!T10</f>
        <v>0</v>
      </c>
      <c r="W8" s="188">
        <f>+Zal_1_WPF_uklad_budzetu!U10</f>
        <v>0</v>
      </c>
      <c r="X8" s="188">
        <f>+Zal_1_WPF_uklad_budzetu!V10</f>
        <v>0</v>
      </c>
      <c r="Y8" s="188">
        <f>+Zal_1_WPF_uklad_budzetu!W10</f>
        <v>0</v>
      </c>
      <c r="Z8" s="188">
        <f>+Zal_1_WPF_uklad_budzetu!X10</f>
        <v>0</v>
      </c>
      <c r="AA8" s="188">
        <f>+Zal_1_WPF_uklad_budzetu!Y10</f>
        <v>0</v>
      </c>
      <c r="AB8" s="188">
        <f>+Zal_1_WPF_uklad_budzetu!Z10</f>
        <v>0</v>
      </c>
      <c r="AC8" s="188">
        <f>+Zal_1_WPF_uklad_budzetu!AA10</f>
        <v>0</v>
      </c>
      <c r="AD8" s="188">
        <f>+Zal_1_WPF_uklad_budzetu!AB10</f>
        <v>0</v>
      </c>
      <c r="AE8" s="188">
        <f>+Zal_1_WPF_uklad_budzetu!AC10</f>
        <v>0</v>
      </c>
      <c r="AF8" s="188">
        <f>+Zal_1_WPF_uklad_budzetu!AD10</f>
        <v>0</v>
      </c>
      <c r="AG8" s="188">
        <f>+Zal_1_WPF_uklad_budzetu!AE10</f>
        <v>0</v>
      </c>
      <c r="AH8" s="188">
        <f>+Zal_1_WPF_uklad_budzetu!AF10</f>
        <v>0</v>
      </c>
      <c r="AI8" s="188">
        <f>+Zal_1_WPF_uklad_budzetu!AG10</f>
        <v>0</v>
      </c>
      <c r="AJ8" s="188">
        <f>+Zal_1_WPF_uklad_budzetu!AH10</f>
        <v>0</v>
      </c>
      <c r="AK8" s="188">
        <f>+Zal_1_WPF_uklad_budzetu!AI10</f>
        <v>0</v>
      </c>
      <c r="AL8" s="188">
        <f>+Zal_1_WPF_uklad_budzetu!AJ10</f>
        <v>0</v>
      </c>
      <c r="AM8" s="188">
        <f>+Zal_1_WPF_uklad_budzetu!AK10</f>
        <v>0</v>
      </c>
      <c r="AN8" s="188">
        <f>+Zal_1_WPF_uklad_budzetu!AL10</f>
        <v>0</v>
      </c>
      <c r="AO8" s="188">
        <f>+Zal_1_WPF_uklad_budzetu!AM10</f>
        <v>0</v>
      </c>
      <c r="AP8" s="188">
        <f>+Zal_1_WPF_uklad_budzetu!AN10</f>
        <v>0</v>
      </c>
      <c r="AQ8" s="188">
        <f>+Zal_1_WPF_uklad_budzetu!AO10</f>
        <v>0</v>
      </c>
    </row>
    <row r="9" spans="1:43" ht="14.25">
      <c r="A9" s="194" t="s">
        <v>221</v>
      </c>
      <c r="B9" s="215">
        <v>22466205.02</v>
      </c>
      <c r="C9" s="196">
        <v>24401676.07</v>
      </c>
      <c r="D9" s="196">
        <v>26553187.45</v>
      </c>
      <c r="E9" s="188">
        <f>+Zal_1_WPF_uklad_budzetu!C13</f>
        <v>26966574.89</v>
      </c>
      <c r="F9" s="188">
        <f>+Zal_1_WPF_uklad_budzetu!D13</f>
        <v>27585233</v>
      </c>
      <c r="G9" s="188">
        <f>+Zal_1_WPF_uklad_budzetu!E13</f>
        <v>28351737</v>
      </c>
      <c r="H9" s="188">
        <f>+Zal_1_WPF_uklad_budzetu!F13</f>
        <v>29036008</v>
      </c>
      <c r="I9" s="188">
        <f>+Zal_1_WPF_uklad_budzetu!G13</f>
        <v>29788344</v>
      </c>
      <c r="J9" s="188">
        <f>+Zal_1_WPF_uklad_budzetu!H13</f>
        <v>30366241</v>
      </c>
      <c r="K9" s="188">
        <f>+Zal_1_WPF_uklad_budzetu!I13</f>
        <v>31221747</v>
      </c>
      <c r="L9" s="188">
        <f>+Zal_1_WPF_uklad_budzetu!J13</f>
        <v>31702291</v>
      </c>
      <c r="M9" s="188">
        <f>+Zal_1_WPF_uklad_budzetu!K13</f>
        <v>33131348</v>
      </c>
      <c r="N9" s="188">
        <f>+Zal_1_WPF_uklad_budzetu!L13</f>
        <v>33556802</v>
      </c>
      <c r="O9" s="188">
        <f>+Zal_1_WPF_uklad_budzetu!M13</f>
        <v>34328608</v>
      </c>
      <c r="P9" s="188">
        <f>+Zal_1_WPF_uklad_budzetu!N13</f>
        <v>0</v>
      </c>
      <c r="Q9" s="188">
        <f>+Zal_1_WPF_uklad_budzetu!O13</f>
        <v>0</v>
      </c>
      <c r="R9" s="188">
        <f>+Zal_1_WPF_uklad_budzetu!P13</f>
        <v>0</v>
      </c>
      <c r="S9" s="188">
        <f>+Zal_1_WPF_uklad_budzetu!Q13</f>
        <v>0</v>
      </c>
      <c r="T9" s="188">
        <f>+Zal_1_WPF_uklad_budzetu!R13</f>
        <v>0</v>
      </c>
      <c r="U9" s="188">
        <f>+Zal_1_WPF_uklad_budzetu!S13</f>
        <v>0</v>
      </c>
      <c r="V9" s="188">
        <f>+Zal_1_WPF_uklad_budzetu!T13</f>
        <v>0</v>
      </c>
      <c r="W9" s="188">
        <f>+Zal_1_WPF_uklad_budzetu!U13</f>
        <v>0</v>
      </c>
      <c r="X9" s="188">
        <f>+Zal_1_WPF_uklad_budzetu!V13</f>
        <v>0</v>
      </c>
      <c r="Y9" s="188">
        <f>+Zal_1_WPF_uklad_budzetu!W13</f>
        <v>0</v>
      </c>
      <c r="Z9" s="188">
        <f>+Zal_1_WPF_uklad_budzetu!X13</f>
        <v>0</v>
      </c>
      <c r="AA9" s="188">
        <f>+Zal_1_WPF_uklad_budzetu!Y13</f>
        <v>0</v>
      </c>
      <c r="AB9" s="188">
        <f>+Zal_1_WPF_uklad_budzetu!Z13</f>
        <v>0</v>
      </c>
      <c r="AC9" s="188">
        <f>+Zal_1_WPF_uklad_budzetu!AA13</f>
        <v>0</v>
      </c>
      <c r="AD9" s="188">
        <f>+Zal_1_WPF_uklad_budzetu!AB13</f>
        <v>0</v>
      </c>
      <c r="AE9" s="188">
        <f>+Zal_1_WPF_uklad_budzetu!AC13</f>
        <v>0</v>
      </c>
      <c r="AF9" s="188">
        <f>+Zal_1_WPF_uklad_budzetu!AD13</f>
        <v>0</v>
      </c>
      <c r="AG9" s="188">
        <f>+Zal_1_WPF_uklad_budzetu!AE13</f>
        <v>0</v>
      </c>
      <c r="AH9" s="188">
        <f>+Zal_1_WPF_uklad_budzetu!AF13</f>
        <v>0</v>
      </c>
      <c r="AI9" s="188">
        <f>+Zal_1_WPF_uklad_budzetu!AG13</f>
        <v>0</v>
      </c>
      <c r="AJ9" s="188">
        <f>+Zal_1_WPF_uklad_budzetu!AH13</f>
        <v>0</v>
      </c>
      <c r="AK9" s="188">
        <f>+Zal_1_WPF_uklad_budzetu!AI13</f>
        <v>0</v>
      </c>
      <c r="AL9" s="188">
        <f>+Zal_1_WPF_uklad_budzetu!AJ13</f>
        <v>0</v>
      </c>
      <c r="AM9" s="188">
        <f>+Zal_1_WPF_uklad_budzetu!AK13</f>
        <v>0</v>
      </c>
      <c r="AN9" s="188">
        <f>+Zal_1_WPF_uklad_budzetu!AL13</f>
        <v>0</v>
      </c>
      <c r="AO9" s="188">
        <f>+Zal_1_WPF_uklad_budzetu!AM13</f>
        <v>0</v>
      </c>
      <c r="AP9" s="188">
        <f>+Zal_1_WPF_uklad_budzetu!AN13</f>
        <v>0</v>
      </c>
      <c r="AQ9" s="188">
        <f>+Zal_1_WPF_uklad_budzetu!AO13</f>
        <v>0</v>
      </c>
    </row>
    <row r="10" spans="1:43" ht="14.25">
      <c r="A10" s="195" t="s">
        <v>207</v>
      </c>
      <c r="B10" s="215">
        <f>+B7+B8-B9</f>
        <v>4542629.82</v>
      </c>
      <c r="C10" s="215">
        <f>+C7+C8-C9</f>
        <v>2991157.1500000022</v>
      </c>
      <c r="D10" s="215">
        <f>+D7+D8-D9</f>
        <v>321479</v>
      </c>
      <c r="E10" s="196">
        <f>+E7-E9+E8</f>
        <v>1653630.3000000007</v>
      </c>
      <c r="F10" s="196">
        <f aca="true" t="shared" si="0" ref="F10:AQ10">+F7-F9+F8</f>
        <v>2183600</v>
      </c>
      <c r="G10" s="196">
        <f t="shared" si="0"/>
        <v>1927626</v>
      </c>
      <c r="H10" s="196">
        <f t="shared" si="0"/>
        <v>1964266</v>
      </c>
      <c r="I10" s="196">
        <f t="shared" si="0"/>
        <v>2195131</v>
      </c>
      <c r="J10" s="196">
        <f t="shared" si="0"/>
        <v>2625238</v>
      </c>
      <c r="K10" s="196">
        <f t="shared" si="0"/>
        <v>2656476</v>
      </c>
      <c r="L10" s="196">
        <f t="shared" si="0"/>
        <v>3292279</v>
      </c>
      <c r="M10" s="196">
        <f t="shared" si="0"/>
        <v>2110059</v>
      </c>
      <c r="N10" s="196">
        <f t="shared" si="0"/>
        <v>3462847</v>
      </c>
      <c r="O10" s="196">
        <f t="shared" si="0"/>
        <v>3801630</v>
      </c>
      <c r="P10" s="196">
        <f t="shared" si="0"/>
        <v>0</v>
      </c>
      <c r="Q10" s="196">
        <f t="shared" si="0"/>
        <v>0</v>
      </c>
      <c r="R10" s="196">
        <f t="shared" si="0"/>
        <v>0</v>
      </c>
      <c r="S10" s="196">
        <f t="shared" si="0"/>
        <v>0</v>
      </c>
      <c r="T10" s="196">
        <f t="shared" si="0"/>
        <v>0</v>
      </c>
      <c r="U10" s="196">
        <f t="shared" si="0"/>
        <v>0</v>
      </c>
      <c r="V10" s="196">
        <f t="shared" si="0"/>
        <v>0</v>
      </c>
      <c r="W10" s="196">
        <f t="shared" si="0"/>
        <v>0</v>
      </c>
      <c r="X10" s="196">
        <f t="shared" si="0"/>
        <v>0</v>
      </c>
      <c r="Y10" s="196">
        <f t="shared" si="0"/>
        <v>0</v>
      </c>
      <c r="Z10" s="196">
        <f t="shared" si="0"/>
        <v>0</v>
      </c>
      <c r="AA10" s="196">
        <f t="shared" si="0"/>
        <v>0</v>
      </c>
      <c r="AB10" s="196">
        <f t="shared" si="0"/>
        <v>0</v>
      </c>
      <c r="AC10" s="196">
        <f t="shared" si="0"/>
        <v>0</v>
      </c>
      <c r="AD10" s="196">
        <f t="shared" si="0"/>
        <v>0</v>
      </c>
      <c r="AE10" s="196">
        <f t="shared" si="0"/>
        <v>0</v>
      </c>
      <c r="AF10" s="196">
        <f t="shared" si="0"/>
        <v>0</v>
      </c>
      <c r="AG10" s="196">
        <f t="shared" si="0"/>
        <v>0</v>
      </c>
      <c r="AH10" s="196">
        <f t="shared" si="0"/>
        <v>0</v>
      </c>
      <c r="AI10" s="196">
        <f t="shared" si="0"/>
        <v>0</v>
      </c>
      <c r="AJ10" s="196">
        <f t="shared" si="0"/>
        <v>0</v>
      </c>
      <c r="AK10" s="196">
        <f t="shared" si="0"/>
        <v>0</v>
      </c>
      <c r="AL10" s="196">
        <f t="shared" si="0"/>
        <v>0</v>
      </c>
      <c r="AM10" s="196">
        <f t="shared" si="0"/>
        <v>0</v>
      </c>
      <c r="AN10" s="196">
        <f t="shared" si="0"/>
        <v>0</v>
      </c>
      <c r="AO10" s="196">
        <f t="shared" si="0"/>
        <v>0</v>
      </c>
      <c r="AP10" s="196">
        <f t="shared" si="0"/>
        <v>0</v>
      </c>
      <c r="AQ10" s="196">
        <f t="shared" si="0"/>
        <v>0</v>
      </c>
    </row>
    <row r="11" spans="1:43" ht="14.25">
      <c r="A11" s="197" t="s">
        <v>222</v>
      </c>
      <c r="B11" s="215">
        <v>27872921.43</v>
      </c>
      <c r="C11" s="196">
        <v>28278728.12</v>
      </c>
      <c r="D11" s="196">
        <v>30978773.45</v>
      </c>
      <c r="E11" s="188">
        <f>+Zal_1_WPF_uklad_budzetu!C6</f>
        <v>31991829.19</v>
      </c>
      <c r="F11" s="188">
        <f>+Zal_1_WPF_uklad_budzetu!D6</f>
        <v>31283833</v>
      </c>
      <c r="G11" s="188">
        <f>+Zal_1_WPF_uklad_budzetu!E6</f>
        <v>31794363</v>
      </c>
      <c r="H11" s="188">
        <f>+Zal_1_WPF_uklad_budzetu!F6</f>
        <v>32515274</v>
      </c>
      <c r="I11" s="188">
        <f>+Zal_1_WPF_uklad_budzetu!G6</f>
        <v>33598788</v>
      </c>
      <c r="J11" s="188">
        <f>+Zal_1_WPF_uklad_budzetu!H6</f>
        <v>32991479</v>
      </c>
      <c r="K11" s="188">
        <f>+Zal_1_WPF_uklad_budzetu!I6</f>
        <v>33878223</v>
      </c>
      <c r="L11" s="188">
        <f>+Zal_1_WPF_uklad_budzetu!J6</f>
        <v>34994570</v>
      </c>
      <c r="M11" s="188">
        <f>+Zal_1_WPF_uklad_budzetu!K6</f>
        <v>35241407</v>
      </c>
      <c r="N11" s="188">
        <f>+Zal_1_WPF_uklad_budzetu!L6</f>
        <v>37019649</v>
      </c>
      <c r="O11" s="188">
        <f>+Zal_1_WPF_uklad_budzetu!M6</f>
        <v>38130238</v>
      </c>
      <c r="P11" s="188">
        <f>+Zal_1_WPF_uklad_budzetu!N6</f>
        <v>0</v>
      </c>
      <c r="Q11" s="188">
        <f>+Zal_1_WPF_uklad_budzetu!O6</f>
        <v>0</v>
      </c>
      <c r="R11" s="188">
        <f>+Zal_1_WPF_uklad_budzetu!P6</f>
        <v>0</v>
      </c>
      <c r="S11" s="188">
        <f>+Zal_1_WPF_uklad_budzetu!Q6</f>
        <v>0</v>
      </c>
      <c r="T11" s="188">
        <f>+Zal_1_WPF_uklad_budzetu!R6</f>
        <v>0</v>
      </c>
      <c r="U11" s="188">
        <f>+Zal_1_WPF_uklad_budzetu!S6</f>
        <v>0</v>
      </c>
      <c r="V11" s="188">
        <f>+Zal_1_WPF_uklad_budzetu!T6</f>
        <v>0</v>
      </c>
      <c r="W11" s="188">
        <f>+Zal_1_WPF_uklad_budzetu!U6</f>
        <v>0</v>
      </c>
      <c r="X11" s="188">
        <f>+Zal_1_WPF_uklad_budzetu!V6</f>
        <v>0</v>
      </c>
      <c r="Y11" s="188">
        <f>+Zal_1_WPF_uklad_budzetu!W6</f>
        <v>0</v>
      </c>
      <c r="Z11" s="188">
        <f>+Zal_1_WPF_uklad_budzetu!X6</f>
        <v>0</v>
      </c>
      <c r="AA11" s="188">
        <f>+Zal_1_WPF_uklad_budzetu!Y6</f>
        <v>0</v>
      </c>
      <c r="AB11" s="188">
        <f>+Zal_1_WPF_uklad_budzetu!Z6</f>
        <v>0</v>
      </c>
      <c r="AC11" s="188">
        <f>+Zal_1_WPF_uklad_budzetu!AA6</f>
        <v>0</v>
      </c>
      <c r="AD11" s="188">
        <f>+Zal_1_WPF_uklad_budzetu!AB6</f>
        <v>0</v>
      </c>
      <c r="AE11" s="188">
        <f>+Zal_1_WPF_uklad_budzetu!AC6</f>
        <v>0</v>
      </c>
      <c r="AF11" s="188">
        <f>+Zal_1_WPF_uklad_budzetu!AD6</f>
        <v>0</v>
      </c>
      <c r="AG11" s="188">
        <f>+Zal_1_WPF_uklad_budzetu!AE6</f>
        <v>0</v>
      </c>
      <c r="AH11" s="188">
        <f>+Zal_1_WPF_uklad_budzetu!AF6</f>
        <v>0</v>
      </c>
      <c r="AI11" s="188">
        <f>+Zal_1_WPF_uklad_budzetu!AG6</f>
        <v>0</v>
      </c>
      <c r="AJ11" s="188">
        <f>+Zal_1_WPF_uklad_budzetu!AH6</f>
        <v>0</v>
      </c>
      <c r="AK11" s="188">
        <f>+Zal_1_WPF_uklad_budzetu!AI6</f>
        <v>0</v>
      </c>
      <c r="AL11" s="188">
        <f>+Zal_1_WPF_uklad_budzetu!AJ6</f>
        <v>0</v>
      </c>
      <c r="AM11" s="188">
        <f>+Zal_1_WPF_uklad_budzetu!AK6</f>
        <v>0</v>
      </c>
      <c r="AN11" s="188">
        <f>+Zal_1_WPF_uklad_budzetu!AL6</f>
        <v>0</v>
      </c>
      <c r="AO11" s="188">
        <f>+Zal_1_WPF_uklad_budzetu!AM6</f>
        <v>0</v>
      </c>
      <c r="AP11" s="188">
        <f>+Zal_1_WPF_uklad_budzetu!AN6</f>
        <v>0</v>
      </c>
      <c r="AQ11" s="188">
        <f>+Zal_1_WPF_uklad_budzetu!AO6</f>
        <v>0</v>
      </c>
    </row>
    <row r="12" spans="1:43" ht="14.25">
      <c r="A12" s="195" t="s">
        <v>219</v>
      </c>
      <c r="B12" s="182">
        <v>0.1629</v>
      </c>
      <c r="C12" s="189">
        <v>0.1057</v>
      </c>
      <c r="D12" s="189">
        <v>0.0103</v>
      </c>
      <c r="E12" s="189">
        <f>+IF(E11&lt;&gt;0,E10/E11,0)</f>
        <v>0.05168914506823174</v>
      </c>
      <c r="F12" s="189">
        <f aca="true" t="shared" si="1" ref="F12:AQ12">+IF(F11&lt;&gt;0,F10/F11,0)</f>
        <v>0.06979963101068849</v>
      </c>
      <c r="G12" s="189">
        <f t="shared" si="1"/>
        <v>0.06062791696754547</v>
      </c>
      <c r="H12" s="189">
        <f t="shared" si="1"/>
        <v>0.06041056274045238</v>
      </c>
      <c r="I12" s="189">
        <f t="shared" si="1"/>
        <v>0.0653336364395049</v>
      </c>
      <c r="J12" s="189">
        <f t="shared" si="1"/>
        <v>0.07957321343489936</v>
      </c>
      <c r="K12" s="189">
        <f t="shared" si="1"/>
        <v>0.07841249524805359</v>
      </c>
      <c r="L12" s="189">
        <f t="shared" si="1"/>
        <v>0.09407971008073539</v>
      </c>
      <c r="M12" s="189">
        <f t="shared" si="1"/>
        <v>0.05987442555854822</v>
      </c>
      <c r="N12" s="189">
        <f t="shared" si="1"/>
        <v>0.09354078424676582</v>
      </c>
      <c r="O12" s="189">
        <f t="shared" si="1"/>
        <v>0.09970118728343631</v>
      </c>
      <c r="P12" s="189">
        <f t="shared" si="1"/>
        <v>0</v>
      </c>
      <c r="Q12" s="189">
        <f t="shared" si="1"/>
        <v>0</v>
      </c>
      <c r="R12" s="189">
        <f t="shared" si="1"/>
        <v>0</v>
      </c>
      <c r="S12" s="189">
        <f t="shared" si="1"/>
        <v>0</v>
      </c>
      <c r="T12" s="189">
        <f t="shared" si="1"/>
        <v>0</v>
      </c>
      <c r="U12" s="189">
        <f t="shared" si="1"/>
        <v>0</v>
      </c>
      <c r="V12" s="189">
        <f t="shared" si="1"/>
        <v>0</v>
      </c>
      <c r="W12" s="189">
        <f t="shared" si="1"/>
        <v>0</v>
      </c>
      <c r="X12" s="189">
        <f t="shared" si="1"/>
        <v>0</v>
      </c>
      <c r="Y12" s="189">
        <f t="shared" si="1"/>
        <v>0</v>
      </c>
      <c r="Z12" s="189">
        <f t="shared" si="1"/>
        <v>0</v>
      </c>
      <c r="AA12" s="189">
        <f t="shared" si="1"/>
        <v>0</v>
      </c>
      <c r="AB12" s="189">
        <f t="shared" si="1"/>
        <v>0</v>
      </c>
      <c r="AC12" s="189">
        <f t="shared" si="1"/>
        <v>0</v>
      </c>
      <c r="AD12" s="189">
        <f t="shared" si="1"/>
        <v>0</v>
      </c>
      <c r="AE12" s="189">
        <f t="shared" si="1"/>
        <v>0</v>
      </c>
      <c r="AF12" s="189">
        <f t="shared" si="1"/>
        <v>0</v>
      </c>
      <c r="AG12" s="189">
        <f t="shared" si="1"/>
        <v>0</v>
      </c>
      <c r="AH12" s="189">
        <f t="shared" si="1"/>
        <v>0</v>
      </c>
      <c r="AI12" s="189">
        <f t="shared" si="1"/>
        <v>0</v>
      </c>
      <c r="AJ12" s="189">
        <f t="shared" si="1"/>
        <v>0</v>
      </c>
      <c r="AK12" s="189">
        <f t="shared" si="1"/>
        <v>0</v>
      </c>
      <c r="AL12" s="189">
        <f t="shared" si="1"/>
        <v>0</v>
      </c>
      <c r="AM12" s="189">
        <f t="shared" si="1"/>
        <v>0</v>
      </c>
      <c r="AN12" s="189">
        <f t="shared" si="1"/>
        <v>0</v>
      </c>
      <c r="AO12" s="189">
        <f t="shared" si="1"/>
        <v>0</v>
      </c>
      <c r="AP12" s="189">
        <f t="shared" si="1"/>
        <v>0</v>
      </c>
      <c r="AQ12" s="189">
        <f t="shared" si="1"/>
        <v>0</v>
      </c>
    </row>
    <row r="13" spans="1:43" ht="14.25">
      <c r="A13" s="198" t="s">
        <v>208</v>
      </c>
      <c r="B13" s="224" t="s">
        <v>209</v>
      </c>
      <c r="C13" s="225"/>
      <c r="D13" s="226"/>
      <c r="E13" s="213">
        <f aca="true" t="shared" si="2" ref="E13:AQ13">+SUM(B12:D12)/3</f>
        <v>0.09296666666666666</v>
      </c>
      <c r="F13" s="213">
        <f t="shared" si="2"/>
        <v>0.05589638168941058</v>
      </c>
      <c r="G13" s="213">
        <f t="shared" si="2"/>
        <v>0.043929592026306745</v>
      </c>
      <c r="H13" s="213">
        <f t="shared" si="2"/>
        <v>0.0607055643488219</v>
      </c>
      <c r="I13" s="213">
        <f t="shared" si="2"/>
        <v>0.06361270357289545</v>
      </c>
      <c r="J13" s="213">
        <f t="shared" si="2"/>
        <v>0.06212403871583425</v>
      </c>
      <c r="K13" s="213">
        <f t="shared" si="2"/>
        <v>0.06843913753828555</v>
      </c>
      <c r="L13" s="213">
        <f t="shared" si="2"/>
        <v>0.07443978170748596</v>
      </c>
      <c r="M13" s="213">
        <f t="shared" si="2"/>
        <v>0.08402180625456278</v>
      </c>
      <c r="N13" s="213">
        <f t="shared" si="2"/>
        <v>0.0774555436291124</v>
      </c>
      <c r="O13" s="213">
        <f t="shared" si="2"/>
        <v>0.08249830662868314</v>
      </c>
      <c r="P13" s="213">
        <f t="shared" si="2"/>
        <v>0.08437213236291678</v>
      </c>
      <c r="Q13" s="213">
        <f t="shared" si="2"/>
        <v>0.06441399051006737</v>
      </c>
      <c r="R13" s="213">
        <f t="shared" si="2"/>
        <v>0.03323372909447877</v>
      </c>
      <c r="S13" s="213">
        <f t="shared" si="2"/>
        <v>0</v>
      </c>
      <c r="T13" s="213">
        <f t="shared" si="2"/>
        <v>0</v>
      </c>
      <c r="U13" s="213">
        <f t="shared" si="2"/>
        <v>0</v>
      </c>
      <c r="V13" s="213">
        <f t="shared" si="2"/>
        <v>0</v>
      </c>
      <c r="W13" s="213">
        <f t="shared" si="2"/>
        <v>0</v>
      </c>
      <c r="X13" s="213">
        <f t="shared" si="2"/>
        <v>0</v>
      </c>
      <c r="Y13" s="213">
        <f t="shared" si="2"/>
        <v>0</v>
      </c>
      <c r="Z13" s="213">
        <f t="shared" si="2"/>
        <v>0</v>
      </c>
      <c r="AA13" s="213">
        <f t="shared" si="2"/>
        <v>0</v>
      </c>
      <c r="AB13" s="213">
        <f t="shared" si="2"/>
        <v>0</v>
      </c>
      <c r="AC13" s="213">
        <f t="shared" si="2"/>
        <v>0</v>
      </c>
      <c r="AD13" s="213">
        <f t="shared" si="2"/>
        <v>0</v>
      </c>
      <c r="AE13" s="213">
        <f t="shared" si="2"/>
        <v>0</v>
      </c>
      <c r="AF13" s="213">
        <f t="shared" si="2"/>
        <v>0</v>
      </c>
      <c r="AG13" s="213">
        <f t="shared" si="2"/>
        <v>0</v>
      </c>
      <c r="AH13" s="213">
        <f t="shared" si="2"/>
        <v>0</v>
      </c>
      <c r="AI13" s="213">
        <f t="shared" si="2"/>
        <v>0</v>
      </c>
      <c r="AJ13" s="213">
        <f t="shared" si="2"/>
        <v>0</v>
      </c>
      <c r="AK13" s="213">
        <f t="shared" si="2"/>
        <v>0</v>
      </c>
      <c r="AL13" s="213">
        <f t="shared" si="2"/>
        <v>0</v>
      </c>
      <c r="AM13" s="213">
        <f t="shared" si="2"/>
        <v>0</v>
      </c>
      <c r="AN13" s="213">
        <f t="shared" si="2"/>
        <v>0</v>
      </c>
      <c r="AO13" s="213">
        <f t="shared" si="2"/>
        <v>0</v>
      </c>
      <c r="AP13" s="213">
        <f t="shared" si="2"/>
        <v>0</v>
      </c>
      <c r="AQ13" s="213">
        <f t="shared" si="2"/>
        <v>0</v>
      </c>
    </row>
    <row r="14" spans="1:43" ht="14.25">
      <c r="A14" s="199" t="s">
        <v>210</v>
      </c>
      <c r="B14" s="200"/>
      <c r="C14" s="200"/>
      <c r="D14" s="211" t="s">
        <v>211</v>
      </c>
      <c r="E14" s="212">
        <f>+Zal_1_WPF_uklad_budzetu!C44</f>
        <v>0.0931</v>
      </c>
      <c r="F14" s="212">
        <f>+Zal_1_WPF_uklad_budzetu!D44</f>
        <v>0.056</v>
      </c>
      <c r="G14" s="212">
        <f>+Zal_1_WPF_uklad_budzetu!E44</f>
        <v>0.044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3" ht="14.25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</row>
    <row r="16" spans="1:43" ht="15" thickBot="1">
      <c r="A16" s="219"/>
      <c r="B16" s="233" t="s">
        <v>212</v>
      </c>
      <c r="C16" s="233"/>
      <c r="D16" s="234"/>
      <c r="E16" s="190">
        <v>2012</v>
      </c>
      <c r="F16" s="190">
        <v>2013</v>
      </c>
      <c r="G16" s="190">
        <v>2014</v>
      </c>
      <c r="H16" s="190">
        <v>2015</v>
      </c>
      <c r="I16" s="190">
        <v>2016</v>
      </c>
      <c r="J16" s="190">
        <v>2017</v>
      </c>
      <c r="K16" s="190">
        <v>2018</v>
      </c>
      <c r="L16" s="190">
        <v>2019</v>
      </c>
      <c r="M16" s="190">
        <v>2020</v>
      </c>
      <c r="N16" s="190">
        <v>2021</v>
      </c>
      <c r="O16" s="190">
        <v>2022</v>
      </c>
      <c r="P16" s="190">
        <v>2023</v>
      </c>
      <c r="Q16" s="190">
        <v>2024</v>
      </c>
      <c r="R16" s="190">
        <v>2025</v>
      </c>
      <c r="S16" s="190">
        <v>2026</v>
      </c>
      <c r="T16" s="190">
        <v>2027</v>
      </c>
      <c r="U16" s="190">
        <v>2028</v>
      </c>
      <c r="V16" s="190">
        <v>2029</v>
      </c>
      <c r="W16" s="190">
        <v>2030</v>
      </c>
      <c r="X16" s="190">
        <v>2031</v>
      </c>
      <c r="Y16" s="190">
        <v>2032</v>
      </c>
      <c r="Z16" s="190">
        <v>2033</v>
      </c>
      <c r="AA16" s="190">
        <v>2034</v>
      </c>
      <c r="AB16" s="190">
        <v>2035</v>
      </c>
      <c r="AC16" s="190">
        <v>2036</v>
      </c>
      <c r="AD16" s="190">
        <v>2037</v>
      </c>
      <c r="AE16" s="190">
        <v>2038</v>
      </c>
      <c r="AF16" s="190">
        <v>2039</v>
      </c>
      <c r="AG16" s="190">
        <v>2040</v>
      </c>
      <c r="AH16" s="190">
        <v>2041</v>
      </c>
      <c r="AI16" s="190">
        <v>2042</v>
      </c>
      <c r="AJ16" s="190">
        <v>2043</v>
      </c>
      <c r="AK16" s="190">
        <v>2044</v>
      </c>
      <c r="AL16" s="190">
        <v>2045</v>
      </c>
      <c r="AM16" s="190">
        <v>2046</v>
      </c>
      <c r="AN16" s="190">
        <v>2047</v>
      </c>
      <c r="AO16" s="190">
        <v>2048</v>
      </c>
      <c r="AP16" s="190">
        <v>2049</v>
      </c>
      <c r="AQ16" s="190">
        <v>2050</v>
      </c>
    </row>
    <row r="17" spans="1:43" ht="14.25">
      <c r="A17" s="201" t="s">
        <v>213</v>
      </c>
      <c r="B17" s="227" t="s">
        <v>209</v>
      </c>
      <c r="C17" s="227"/>
      <c r="D17" s="228"/>
      <c r="E17" s="202">
        <f>+Zal_1_WPF_uklad_budzetu!C33</f>
        <v>3160952</v>
      </c>
      <c r="F17" s="202">
        <f>+Zal_1_WPF_uklad_budzetu!D33</f>
        <v>3670600</v>
      </c>
      <c r="G17" s="202">
        <f>+Zal_1_WPF_uklad_budzetu!E33</f>
        <v>781000</v>
      </c>
      <c r="H17" s="202">
        <f>+Zal_1_WPF_uklad_budzetu!F33</f>
        <v>1396900</v>
      </c>
      <c r="I17" s="202">
        <f>+Zal_1_WPF_uklad_budzetu!G33</f>
        <v>1500000</v>
      </c>
      <c r="J17" s="202">
        <f>+Zal_1_WPF_uklad_budzetu!H33</f>
        <v>1694000</v>
      </c>
      <c r="K17" s="202">
        <f>+Zal_1_WPF_uklad_budzetu!I33</f>
        <v>1950000</v>
      </c>
      <c r="L17" s="202">
        <f>+Zal_1_WPF_uklad_budzetu!J33</f>
        <v>2450000</v>
      </c>
      <c r="M17" s="202">
        <f>+Zal_1_WPF_uklad_budzetu!K33</f>
        <v>500000</v>
      </c>
      <c r="N17" s="202">
        <f>+Zal_1_WPF_uklad_budzetu!L33</f>
        <v>2566576</v>
      </c>
      <c r="O17" s="202">
        <f>+Zal_1_WPF_uklad_budzetu!M33</f>
        <v>1693635</v>
      </c>
      <c r="P17" s="202">
        <f>+Zal_1_WPF_uklad_budzetu!N33</f>
        <v>0</v>
      </c>
      <c r="Q17" s="202">
        <f>+Zal_1_WPF_uklad_budzetu!O33</f>
        <v>0</v>
      </c>
      <c r="R17" s="202">
        <f>+Zal_1_WPF_uklad_budzetu!P33</f>
        <v>0</v>
      </c>
      <c r="S17" s="202">
        <f>+Zal_1_WPF_uklad_budzetu!Q33</f>
        <v>0</v>
      </c>
      <c r="T17" s="202">
        <f>+Zal_1_WPF_uklad_budzetu!R33</f>
        <v>0</v>
      </c>
      <c r="U17" s="202">
        <f>+Zal_1_WPF_uklad_budzetu!S33</f>
        <v>0</v>
      </c>
      <c r="V17" s="202">
        <f>+Zal_1_WPF_uklad_budzetu!T33</f>
        <v>0</v>
      </c>
      <c r="W17" s="202">
        <f>+Zal_1_WPF_uklad_budzetu!U33</f>
        <v>0</v>
      </c>
      <c r="X17" s="202">
        <f>+Zal_1_WPF_uklad_budzetu!V33</f>
        <v>0</v>
      </c>
      <c r="Y17" s="202">
        <f>+Zal_1_WPF_uklad_budzetu!W33</f>
        <v>0</v>
      </c>
      <c r="Z17" s="202">
        <f>+Zal_1_WPF_uklad_budzetu!X33</f>
        <v>0</v>
      </c>
      <c r="AA17" s="202">
        <f>+Zal_1_WPF_uklad_budzetu!Y33</f>
        <v>0</v>
      </c>
      <c r="AB17" s="202">
        <f>+Zal_1_WPF_uklad_budzetu!Z33</f>
        <v>0</v>
      </c>
      <c r="AC17" s="202">
        <f>+Zal_1_WPF_uklad_budzetu!AA33</f>
        <v>0</v>
      </c>
      <c r="AD17" s="202">
        <f>+Zal_1_WPF_uklad_budzetu!AB33</f>
        <v>0</v>
      </c>
      <c r="AE17" s="202">
        <f>+Zal_1_WPF_uklad_budzetu!AC33</f>
        <v>0</v>
      </c>
      <c r="AF17" s="202">
        <f>+Zal_1_WPF_uklad_budzetu!AD33</f>
        <v>0</v>
      </c>
      <c r="AG17" s="202">
        <f>+Zal_1_WPF_uklad_budzetu!AE33</f>
        <v>0</v>
      </c>
      <c r="AH17" s="202">
        <f>+Zal_1_WPF_uklad_budzetu!AF33</f>
        <v>0</v>
      </c>
      <c r="AI17" s="202">
        <f>+Zal_1_WPF_uklad_budzetu!AG33</f>
        <v>0</v>
      </c>
      <c r="AJ17" s="202">
        <f>+Zal_1_WPF_uklad_budzetu!AH33</f>
        <v>0</v>
      </c>
      <c r="AK17" s="202">
        <f>+Zal_1_WPF_uklad_budzetu!AI33</f>
        <v>0</v>
      </c>
      <c r="AL17" s="202">
        <f>+Zal_1_WPF_uklad_budzetu!AJ33</f>
        <v>0</v>
      </c>
      <c r="AM17" s="202">
        <f>+Zal_1_WPF_uklad_budzetu!AK33</f>
        <v>0</v>
      </c>
      <c r="AN17" s="202">
        <f>+Zal_1_WPF_uklad_budzetu!AL33</f>
        <v>0</v>
      </c>
      <c r="AO17" s="202">
        <f>+Zal_1_WPF_uklad_budzetu!AM33</f>
        <v>0</v>
      </c>
      <c r="AP17" s="202">
        <f>+Zal_1_WPF_uklad_budzetu!AN33</f>
        <v>0</v>
      </c>
      <c r="AQ17" s="202">
        <f>+Zal_1_WPF_uklad_budzetu!AO33</f>
        <v>0</v>
      </c>
    </row>
    <row r="18" spans="1:43" ht="14.25">
      <c r="A18" s="203" t="s">
        <v>220</v>
      </c>
      <c r="B18" s="229"/>
      <c r="C18" s="229"/>
      <c r="D18" s="230"/>
      <c r="E18" s="188">
        <f>+Zal_1_WPF_uklad_budzetu!C19</f>
        <v>600000</v>
      </c>
      <c r="F18" s="188">
        <f>+Zal_1_WPF_uklad_budzetu!D19</f>
        <v>710000</v>
      </c>
      <c r="G18" s="188">
        <f>+Zal_1_WPF_uklad_budzetu!E19</f>
        <v>600000</v>
      </c>
      <c r="H18" s="188">
        <f>+Zal_1_WPF_uklad_budzetu!F19</f>
        <v>530000</v>
      </c>
      <c r="I18" s="188">
        <f>+Zal_1_WPF_uklad_budzetu!G19</f>
        <v>490000</v>
      </c>
      <c r="J18" s="188">
        <f>+Zal_1_WPF_uklad_budzetu!H19</f>
        <v>350000</v>
      </c>
      <c r="K18" s="188">
        <f>+Zal_1_WPF_uklad_budzetu!I19</f>
        <v>250000</v>
      </c>
      <c r="L18" s="188">
        <f>+Zal_1_WPF_uklad_budzetu!J19</f>
        <v>120000</v>
      </c>
      <c r="M18" s="188">
        <f>+Zal_1_WPF_uklad_budzetu!K19</f>
        <v>216400</v>
      </c>
      <c r="N18" s="188">
        <f>+Zal_1_WPF_uklad_budzetu!L19</f>
        <v>130000</v>
      </c>
      <c r="O18" s="188">
        <f>+Zal_1_WPF_uklad_budzetu!M19</f>
        <v>120000</v>
      </c>
      <c r="P18" s="188">
        <f>+Zal_1_WPF_uklad_budzetu!N19</f>
        <v>0</v>
      </c>
      <c r="Q18" s="188">
        <f>+Zal_1_WPF_uklad_budzetu!O19</f>
        <v>0</v>
      </c>
      <c r="R18" s="188">
        <f>+Zal_1_WPF_uklad_budzetu!P19</f>
        <v>0</v>
      </c>
      <c r="S18" s="188">
        <f>+Zal_1_WPF_uklad_budzetu!Q19</f>
        <v>0</v>
      </c>
      <c r="T18" s="188">
        <f>+Zal_1_WPF_uklad_budzetu!R19</f>
        <v>0</v>
      </c>
      <c r="U18" s="188">
        <f>+Zal_1_WPF_uklad_budzetu!S19</f>
        <v>0</v>
      </c>
      <c r="V18" s="188">
        <f>+Zal_1_WPF_uklad_budzetu!T19</f>
        <v>0</v>
      </c>
      <c r="W18" s="188">
        <f>+Zal_1_WPF_uklad_budzetu!U19</f>
        <v>0</v>
      </c>
      <c r="X18" s="188">
        <f>+Zal_1_WPF_uklad_budzetu!V19</f>
        <v>0</v>
      </c>
      <c r="Y18" s="188">
        <f>+Zal_1_WPF_uklad_budzetu!W19</f>
        <v>0</v>
      </c>
      <c r="Z18" s="188">
        <f>+Zal_1_WPF_uklad_budzetu!X19</f>
        <v>0</v>
      </c>
      <c r="AA18" s="188">
        <f>+Zal_1_WPF_uklad_budzetu!Y19</f>
        <v>0</v>
      </c>
      <c r="AB18" s="188">
        <f>+Zal_1_WPF_uklad_budzetu!Z19</f>
        <v>0</v>
      </c>
      <c r="AC18" s="188">
        <f>+Zal_1_WPF_uklad_budzetu!AA19</f>
        <v>0</v>
      </c>
      <c r="AD18" s="188">
        <f>+Zal_1_WPF_uklad_budzetu!AB19</f>
        <v>0</v>
      </c>
      <c r="AE18" s="188">
        <f>+Zal_1_WPF_uklad_budzetu!AC19</f>
        <v>0</v>
      </c>
      <c r="AF18" s="188">
        <f>+Zal_1_WPF_uklad_budzetu!AD19</f>
        <v>0</v>
      </c>
      <c r="AG18" s="188">
        <f>+Zal_1_WPF_uklad_budzetu!AE19</f>
        <v>0</v>
      </c>
      <c r="AH18" s="188">
        <f>+Zal_1_WPF_uklad_budzetu!AF19</f>
        <v>0</v>
      </c>
      <c r="AI18" s="188">
        <f>+Zal_1_WPF_uklad_budzetu!AG19</f>
        <v>0</v>
      </c>
      <c r="AJ18" s="188">
        <f>+Zal_1_WPF_uklad_budzetu!AH19</f>
        <v>0</v>
      </c>
      <c r="AK18" s="188">
        <f>+Zal_1_WPF_uklad_budzetu!AI19</f>
        <v>0</v>
      </c>
      <c r="AL18" s="188">
        <f>+Zal_1_WPF_uklad_budzetu!AJ19</f>
        <v>0</v>
      </c>
      <c r="AM18" s="188">
        <f>+Zal_1_WPF_uklad_budzetu!AK19</f>
        <v>0</v>
      </c>
      <c r="AN18" s="188">
        <f>+Zal_1_WPF_uklad_budzetu!AL19</f>
        <v>0</v>
      </c>
      <c r="AO18" s="188">
        <f>+Zal_1_WPF_uklad_budzetu!AM19</f>
        <v>0</v>
      </c>
      <c r="AP18" s="188">
        <f>+Zal_1_WPF_uklad_budzetu!AN19</f>
        <v>0</v>
      </c>
      <c r="AQ18" s="188">
        <f>+Zal_1_WPF_uklad_budzetu!AO19</f>
        <v>0</v>
      </c>
    </row>
    <row r="19" spans="1:43" ht="14.25">
      <c r="A19" s="203" t="s">
        <v>214</v>
      </c>
      <c r="B19" s="229"/>
      <c r="C19" s="229"/>
      <c r="D19" s="230"/>
      <c r="E19" s="188">
        <f>+Zal_1_WPF_uklad_budzetu!C16</f>
        <v>0</v>
      </c>
      <c r="F19" s="188">
        <f>+Zal_1_WPF_uklad_budzetu!D16</f>
        <v>0</v>
      </c>
      <c r="G19" s="188">
        <f>+Zal_1_WPF_uklad_budzetu!E16</f>
        <v>0</v>
      </c>
      <c r="H19" s="188">
        <f>+Zal_1_WPF_uklad_budzetu!F16</f>
        <v>0</v>
      </c>
      <c r="I19" s="188">
        <f>+Zal_1_WPF_uklad_budzetu!G16</f>
        <v>0</v>
      </c>
      <c r="J19" s="188">
        <f>+Zal_1_WPF_uklad_budzetu!H16</f>
        <v>0</v>
      </c>
      <c r="K19" s="188">
        <f>+Zal_1_WPF_uklad_budzetu!I16</f>
        <v>0</v>
      </c>
      <c r="L19" s="188">
        <f>+Zal_1_WPF_uklad_budzetu!J16</f>
        <v>0</v>
      </c>
      <c r="M19" s="188">
        <f>+Zal_1_WPF_uklad_budzetu!K16</f>
        <v>0</v>
      </c>
      <c r="N19" s="188">
        <f>+Zal_1_WPF_uklad_budzetu!L16</f>
        <v>0</v>
      </c>
      <c r="O19" s="188">
        <f>+Zal_1_WPF_uklad_budzetu!M16</f>
        <v>0</v>
      </c>
      <c r="P19" s="188">
        <f>+Zal_1_WPF_uklad_budzetu!N16</f>
        <v>0</v>
      </c>
      <c r="Q19" s="188">
        <f>+Zal_1_WPF_uklad_budzetu!O16</f>
        <v>0</v>
      </c>
      <c r="R19" s="188">
        <f>+Zal_1_WPF_uklad_budzetu!P16</f>
        <v>0</v>
      </c>
      <c r="S19" s="188">
        <f>+Zal_1_WPF_uklad_budzetu!Q16</f>
        <v>0</v>
      </c>
      <c r="T19" s="188">
        <f>+Zal_1_WPF_uklad_budzetu!R16</f>
        <v>0</v>
      </c>
      <c r="U19" s="188">
        <f>+Zal_1_WPF_uklad_budzetu!S16</f>
        <v>0</v>
      </c>
      <c r="V19" s="188">
        <f>+Zal_1_WPF_uklad_budzetu!T16</f>
        <v>0</v>
      </c>
      <c r="W19" s="188">
        <f>+Zal_1_WPF_uklad_budzetu!U16</f>
        <v>0</v>
      </c>
      <c r="X19" s="188">
        <f>+Zal_1_WPF_uklad_budzetu!V16</f>
        <v>0</v>
      </c>
      <c r="Y19" s="188">
        <f>+Zal_1_WPF_uklad_budzetu!W16</f>
        <v>0</v>
      </c>
      <c r="Z19" s="188">
        <f>+Zal_1_WPF_uklad_budzetu!X16</f>
        <v>0</v>
      </c>
      <c r="AA19" s="188">
        <f>+Zal_1_WPF_uklad_budzetu!Y16</f>
        <v>0</v>
      </c>
      <c r="AB19" s="188">
        <f>+Zal_1_WPF_uklad_budzetu!Z16</f>
        <v>0</v>
      </c>
      <c r="AC19" s="188">
        <f>+Zal_1_WPF_uklad_budzetu!AA16</f>
        <v>0</v>
      </c>
      <c r="AD19" s="188">
        <f>+Zal_1_WPF_uklad_budzetu!AB16</f>
        <v>0</v>
      </c>
      <c r="AE19" s="188">
        <f>+Zal_1_WPF_uklad_budzetu!AC16</f>
        <v>0</v>
      </c>
      <c r="AF19" s="188">
        <f>+Zal_1_WPF_uklad_budzetu!AD16</f>
        <v>0</v>
      </c>
      <c r="AG19" s="188">
        <f>+Zal_1_WPF_uklad_budzetu!AE16</f>
        <v>0</v>
      </c>
      <c r="AH19" s="188">
        <f>+Zal_1_WPF_uklad_budzetu!AF16</f>
        <v>0</v>
      </c>
      <c r="AI19" s="188">
        <f>+Zal_1_WPF_uklad_budzetu!AG16</f>
        <v>0</v>
      </c>
      <c r="AJ19" s="188">
        <f>+Zal_1_WPF_uklad_budzetu!AH16</f>
        <v>0</v>
      </c>
      <c r="AK19" s="188">
        <f>+Zal_1_WPF_uklad_budzetu!AI16</f>
        <v>0</v>
      </c>
      <c r="AL19" s="188">
        <f>+Zal_1_WPF_uklad_budzetu!AJ16</f>
        <v>0</v>
      </c>
      <c r="AM19" s="188">
        <f>+Zal_1_WPF_uklad_budzetu!AK16</f>
        <v>0</v>
      </c>
      <c r="AN19" s="188">
        <f>+Zal_1_WPF_uklad_budzetu!AL16</f>
        <v>0</v>
      </c>
      <c r="AO19" s="188">
        <f>+Zal_1_WPF_uklad_budzetu!AM16</f>
        <v>0</v>
      </c>
      <c r="AP19" s="188">
        <f>+Zal_1_WPF_uklad_budzetu!AN16</f>
        <v>0</v>
      </c>
      <c r="AQ19" s="188">
        <f>+Zal_1_WPF_uklad_budzetu!AO16</f>
        <v>0</v>
      </c>
    </row>
    <row r="20" spans="1:43" ht="15" thickBot="1">
      <c r="A20" s="204" t="s">
        <v>215</v>
      </c>
      <c r="B20" s="229"/>
      <c r="C20" s="229"/>
      <c r="D20" s="230"/>
      <c r="E20" s="205">
        <f>+SUM(E17:E19)</f>
        <v>3760952</v>
      </c>
      <c r="F20" s="205">
        <f aca="true" t="shared" si="3" ref="F20:AQ20">+SUM(F17:F19)</f>
        <v>4380600</v>
      </c>
      <c r="G20" s="205">
        <f t="shared" si="3"/>
        <v>1381000</v>
      </c>
      <c r="H20" s="205">
        <f t="shared" si="3"/>
        <v>1926900</v>
      </c>
      <c r="I20" s="205">
        <f t="shared" si="3"/>
        <v>1990000</v>
      </c>
      <c r="J20" s="205">
        <f t="shared" si="3"/>
        <v>2044000</v>
      </c>
      <c r="K20" s="205">
        <f t="shared" si="3"/>
        <v>2200000</v>
      </c>
      <c r="L20" s="205">
        <f t="shared" si="3"/>
        <v>2570000</v>
      </c>
      <c r="M20" s="205">
        <f t="shared" si="3"/>
        <v>716400</v>
      </c>
      <c r="N20" s="205">
        <f t="shared" si="3"/>
        <v>2696576</v>
      </c>
      <c r="O20" s="205">
        <f t="shared" si="3"/>
        <v>1813635</v>
      </c>
      <c r="P20" s="205">
        <f t="shared" si="3"/>
        <v>0</v>
      </c>
      <c r="Q20" s="205">
        <f t="shared" si="3"/>
        <v>0</v>
      </c>
      <c r="R20" s="205">
        <f t="shared" si="3"/>
        <v>0</v>
      </c>
      <c r="S20" s="205">
        <f t="shared" si="3"/>
        <v>0</v>
      </c>
      <c r="T20" s="205">
        <f t="shared" si="3"/>
        <v>0</v>
      </c>
      <c r="U20" s="205">
        <f t="shared" si="3"/>
        <v>0</v>
      </c>
      <c r="V20" s="205">
        <f t="shared" si="3"/>
        <v>0</v>
      </c>
      <c r="W20" s="205">
        <f t="shared" si="3"/>
        <v>0</v>
      </c>
      <c r="X20" s="205">
        <f t="shared" si="3"/>
        <v>0</v>
      </c>
      <c r="Y20" s="205">
        <f t="shared" si="3"/>
        <v>0</v>
      </c>
      <c r="Z20" s="205">
        <f t="shared" si="3"/>
        <v>0</v>
      </c>
      <c r="AA20" s="205">
        <f t="shared" si="3"/>
        <v>0</v>
      </c>
      <c r="AB20" s="205">
        <f t="shared" si="3"/>
        <v>0</v>
      </c>
      <c r="AC20" s="205">
        <f t="shared" si="3"/>
        <v>0</v>
      </c>
      <c r="AD20" s="205">
        <f t="shared" si="3"/>
        <v>0</v>
      </c>
      <c r="AE20" s="205">
        <f t="shared" si="3"/>
        <v>0</v>
      </c>
      <c r="AF20" s="205">
        <f t="shared" si="3"/>
        <v>0</v>
      </c>
      <c r="AG20" s="205">
        <f t="shared" si="3"/>
        <v>0</v>
      </c>
      <c r="AH20" s="205">
        <f t="shared" si="3"/>
        <v>0</v>
      </c>
      <c r="AI20" s="205">
        <f t="shared" si="3"/>
        <v>0</v>
      </c>
      <c r="AJ20" s="205">
        <f t="shared" si="3"/>
        <v>0</v>
      </c>
      <c r="AK20" s="205">
        <f t="shared" si="3"/>
        <v>0</v>
      </c>
      <c r="AL20" s="205">
        <f t="shared" si="3"/>
        <v>0</v>
      </c>
      <c r="AM20" s="205">
        <f t="shared" si="3"/>
        <v>0</v>
      </c>
      <c r="AN20" s="205">
        <f t="shared" si="3"/>
        <v>0</v>
      </c>
      <c r="AO20" s="205">
        <f t="shared" si="3"/>
        <v>0</v>
      </c>
      <c r="AP20" s="205">
        <f t="shared" si="3"/>
        <v>0</v>
      </c>
      <c r="AQ20" s="205">
        <f t="shared" si="3"/>
        <v>0</v>
      </c>
    </row>
    <row r="21" spans="1:43" ht="15" thickBot="1">
      <c r="A21" s="206" t="s">
        <v>223</v>
      </c>
      <c r="B21" s="229"/>
      <c r="C21" s="229"/>
      <c r="D21" s="230"/>
      <c r="E21" s="207">
        <f>+E11</f>
        <v>31991829.19</v>
      </c>
      <c r="F21" s="207">
        <f aca="true" t="shared" si="4" ref="F21:AQ21">+F11</f>
        <v>31283833</v>
      </c>
      <c r="G21" s="207">
        <f t="shared" si="4"/>
        <v>31794363</v>
      </c>
      <c r="H21" s="207">
        <f t="shared" si="4"/>
        <v>32515274</v>
      </c>
      <c r="I21" s="207">
        <f t="shared" si="4"/>
        <v>33598788</v>
      </c>
      <c r="J21" s="207">
        <f t="shared" si="4"/>
        <v>32991479</v>
      </c>
      <c r="K21" s="207">
        <f t="shared" si="4"/>
        <v>33878223</v>
      </c>
      <c r="L21" s="207">
        <f t="shared" si="4"/>
        <v>34994570</v>
      </c>
      <c r="M21" s="207">
        <f t="shared" si="4"/>
        <v>35241407</v>
      </c>
      <c r="N21" s="207">
        <f t="shared" si="4"/>
        <v>37019649</v>
      </c>
      <c r="O21" s="207">
        <f t="shared" si="4"/>
        <v>38130238</v>
      </c>
      <c r="P21" s="207">
        <f t="shared" si="4"/>
        <v>0</v>
      </c>
      <c r="Q21" s="207">
        <f t="shared" si="4"/>
        <v>0</v>
      </c>
      <c r="R21" s="207">
        <f t="shared" si="4"/>
        <v>0</v>
      </c>
      <c r="S21" s="207">
        <f t="shared" si="4"/>
        <v>0</v>
      </c>
      <c r="T21" s="207">
        <f t="shared" si="4"/>
        <v>0</v>
      </c>
      <c r="U21" s="207">
        <f t="shared" si="4"/>
        <v>0</v>
      </c>
      <c r="V21" s="207">
        <f t="shared" si="4"/>
        <v>0</v>
      </c>
      <c r="W21" s="207">
        <f t="shared" si="4"/>
        <v>0</v>
      </c>
      <c r="X21" s="207">
        <f t="shared" si="4"/>
        <v>0</v>
      </c>
      <c r="Y21" s="207">
        <f t="shared" si="4"/>
        <v>0</v>
      </c>
      <c r="Z21" s="207">
        <f t="shared" si="4"/>
        <v>0</v>
      </c>
      <c r="AA21" s="207">
        <f t="shared" si="4"/>
        <v>0</v>
      </c>
      <c r="AB21" s="207">
        <f t="shared" si="4"/>
        <v>0</v>
      </c>
      <c r="AC21" s="207">
        <f t="shared" si="4"/>
        <v>0</v>
      </c>
      <c r="AD21" s="207">
        <f t="shared" si="4"/>
        <v>0</v>
      </c>
      <c r="AE21" s="207">
        <f t="shared" si="4"/>
        <v>0</v>
      </c>
      <c r="AF21" s="207">
        <f t="shared" si="4"/>
        <v>0</v>
      </c>
      <c r="AG21" s="207">
        <f t="shared" si="4"/>
        <v>0</v>
      </c>
      <c r="AH21" s="207">
        <f t="shared" si="4"/>
        <v>0</v>
      </c>
      <c r="AI21" s="207">
        <f t="shared" si="4"/>
        <v>0</v>
      </c>
      <c r="AJ21" s="207">
        <f t="shared" si="4"/>
        <v>0</v>
      </c>
      <c r="AK21" s="207">
        <f t="shared" si="4"/>
        <v>0</v>
      </c>
      <c r="AL21" s="207">
        <f t="shared" si="4"/>
        <v>0</v>
      </c>
      <c r="AM21" s="207">
        <f t="shared" si="4"/>
        <v>0</v>
      </c>
      <c r="AN21" s="207">
        <f t="shared" si="4"/>
        <v>0</v>
      </c>
      <c r="AO21" s="207">
        <f t="shared" si="4"/>
        <v>0</v>
      </c>
      <c r="AP21" s="207">
        <f t="shared" si="4"/>
        <v>0</v>
      </c>
      <c r="AQ21" s="207">
        <f t="shared" si="4"/>
        <v>0</v>
      </c>
    </row>
    <row r="22" spans="1:43" ht="36">
      <c r="A22" s="208" t="s">
        <v>224</v>
      </c>
      <c r="B22" s="229"/>
      <c r="C22" s="229"/>
      <c r="D22" s="230"/>
      <c r="E22" s="191">
        <f>+IF(E21&lt;&gt;0,E20/E21,0)</f>
        <v>0.11755976745385967</v>
      </c>
      <c r="F22" s="191">
        <f aca="true" t="shared" si="5" ref="F22:AQ22">+IF(F21&lt;&gt;0,F20/F21,0)</f>
        <v>0.14002759828055597</v>
      </c>
      <c r="G22" s="191">
        <f t="shared" si="5"/>
        <v>0.04343537249040026</v>
      </c>
      <c r="H22" s="191">
        <f t="shared" si="5"/>
        <v>0.059261379744178076</v>
      </c>
      <c r="I22" s="191">
        <f t="shared" si="5"/>
        <v>0.059228326926554616</v>
      </c>
      <c r="J22" s="191">
        <f t="shared" si="5"/>
        <v>0.061955391572472394</v>
      </c>
      <c r="K22" s="191">
        <f t="shared" si="5"/>
        <v>0.06493847094636575</v>
      </c>
      <c r="L22" s="191">
        <f t="shared" si="5"/>
        <v>0.07343996511458778</v>
      </c>
      <c r="M22" s="191">
        <f t="shared" si="5"/>
        <v>0.020328359761572518</v>
      </c>
      <c r="N22" s="191">
        <f t="shared" si="5"/>
        <v>0.07284174952604223</v>
      </c>
      <c r="O22" s="191">
        <f t="shared" si="5"/>
        <v>0.04756421924248152</v>
      </c>
      <c r="P22" s="191">
        <f t="shared" si="5"/>
        <v>0</v>
      </c>
      <c r="Q22" s="191">
        <f t="shared" si="5"/>
        <v>0</v>
      </c>
      <c r="R22" s="191">
        <f t="shared" si="5"/>
        <v>0</v>
      </c>
      <c r="S22" s="191">
        <f t="shared" si="5"/>
        <v>0</v>
      </c>
      <c r="T22" s="191">
        <f t="shared" si="5"/>
        <v>0</v>
      </c>
      <c r="U22" s="191">
        <f t="shared" si="5"/>
        <v>0</v>
      </c>
      <c r="V22" s="191">
        <f t="shared" si="5"/>
        <v>0</v>
      </c>
      <c r="W22" s="191">
        <f t="shared" si="5"/>
        <v>0</v>
      </c>
      <c r="X22" s="191">
        <f t="shared" si="5"/>
        <v>0</v>
      </c>
      <c r="Y22" s="191">
        <f t="shared" si="5"/>
        <v>0</v>
      </c>
      <c r="Z22" s="191">
        <f t="shared" si="5"/>
        <v>0</v>
      </c>
      <c r="AA22" s="191">
        <f t="shared" si="5"/>
        <v>0</v>
      </c>
      <c r="AB22" s="191">
        <f t="shared" si="5"/>
        <v>0</v>
      </c>
      <c r="AC22" s="191">
        <f t="shared" si="5"/>
        <v>0</v>
      </c>
      <c r="AD22" s="191">
        <f t="shared" si="5"/>
        <v>0</v>
      </c>
      <c r="AE22" s="191">
        <f t="shared" si="5"/>
        <v>0</v>
      </c>
      <c r="AF22" s="191">
        <f t="shared" si="5"/>
        <v>0</v>
      </c>
      <c r="AG22" s="191">
        <f t="shared" si="5"/>
        <v>0</v>
      </c>
      <c r="AH22" s="191">
        <f t="shared" si="5"/>
        <v>0</v>
      </c>
      <c r="AI22" s="191">
        <f t="shared" si="5"/>
        <v>0</v>
      </c>
      <c r="AJ22" s="191">
        <f t="shared" si="5"/>
        <v>0</v>
      </c>
      <c r="AK22" s="191">
        <f t="shared" si="5"/>
        <v>0</v>
      </c>
      <c r="AL22" s="191">
        <f t="shared" si="5"/>
        <v>0</v>
      </c>
      <c r="AM22" s="191">
        <f t="shared" si="5"/>
        <v>0</v>
      </c>
      <c r="AN22" s="191">
        <f t="shared" si="5"/>
        <v>0</v>
      </c>
      <c r="AO22" s="191">
        <f t="shared" si="5"/>
        <v>0</v>
      </c>
      <c r="AP22" s="191">
        <f t="shared" si="5"/>
        <v>0</v>
      </c>
      <c r="AQ22" s="191">
        <f t="shared" si="5"/>
        <v>0</v>
      </c>
    </row>
    <row r="23" spans="1:43" ht="31.5" customHeight="1">
      <c r="A23" s="209" t="s">
        <v>216</v>
      </c>
      <c r="B23" s="229"/>
      <c r="C23" s="229"/>
      <c r="D23" s="230"/>
      <c r="E23" s="186" t="str">
        <f>+IF(E22&lt;=E13,"ZGODNE","NIE ZGODNE")</f>
        <v>NIE ZGODNE</v>
      </c>
      <c r="F23" s="186" t="str">
        <f aca="true" t="shared" si="6" ref="F23:AQ23">+IF(F22&lt;=F13,"ZGODNE","NIE ZGODNE")</f>
        <v>NIE ZGODNE</v>
      </c>
      <c r="G23" s="186" t="str">
        <f t="shared" si="6"/>
        <v>ZGODNE</v>
      </c>
      <c r="H23" s="186" t="str">
        <f t="shared" si="6"/>
        <v>ZGODNE</v>
      </c>
      <c r="I23" s="186" t="str">
        <f t="shared" si="6"/>
        <v>ZGODNE</v>
      </c>
      <c r="J23" s="186" t="str">
        <f t="shared" si="6"/>
        <v>ZGODNE</v>
      </c>
      <c r="K23" s="186" t="str">
        <f t="shared" si="6"/>
        <v>ZGODNE</v>
      </c>
      <c r="L23" s="186" t="str">
        <f t="shared" si="6"/>
        <v>ZGODNE</v>
      </c>
      <c r="M23" s="186" t="str">
        <f t="shared" si="6"/>
        <v>ZGODNE</v>
      </c>
      <c r="N23" s="186" t="str">
        <f t="shared" si="6"/>
        <v>ZGODNE</v>
      </c>
      <c r="O23" s="186" t="str">
        <f t="shared" si="6"/>
        <v>ZGODNE</v>
      </c>
      <c r="P23" s="186" t="str">
        <f t="shared" si="6"/>
        <v>ZGODNE</v>
      </c>
      <c r="Q23" s="186" t="str">
        <f t="shared" si="6"/>
        <v>ZGODNE</v>
      </c>
      <c r="R23" s="186" t="str">
        <f t="shared" si="6"/>
        <v>ZGODNE</v>
      </c>
      <c r="S23" s="186" t="str">
        <f t="shared" si="6"/>
        <v>ZGODNE</v>
      </c>
      <c r="T23" s="186" t="str">
        <f t="shared" si="6"/>
        <v>ZGODNE</v>
      </c>
      <c r="U23" s="186" t="str">
        <f t="shared" si="6"/>
        <v>ZGODNE</v>
      </c>
      <c r="V23" s="186" t="str">
        <f t="shared" si="6"/>
        <v>ZGODNE</v>
      </c>
      <c r="W23" s="186" t="str">
        <f t="shared" si="6"/>
        <v>ZGODNE</v>
      </c>
      <c r="X23" s="186" t="str">
        <f t="shared" si="6"/>
        <v>ZGODNE</v>
      </c>
      <c r="Y23" s="186" t="str">
        <f t="shared" si="6"/>
        <v>ZGODNE</v>
      </c>
      <c r="Z23" s="186" t="str">
        <f t="shared" si="6"/>
        <v>ZGODNE</v>
      </c>
      <c r="AA23" s="186" t="str">
        <f t="shared" si="6"/>
        <v>ZGODNE</v>
      </c>
      <c r="AB23" s="186" t="str">
        <f t="shared" si="6"/>
        <v>ZGODNE</v>
      </c>
      <c r="AC23" s="186" t="str">
        <f t="shared" si="6"/>
        <v>ZGODNE</v>
      </c>
      <c r="AD23" s="186" t="str">
        <f t="shared" si="6"/>
        <v>ZGODNE</v>
      </c>
      <c r="AE23" s="186" t="str">
        <f t="shared" si="6"/>
        <v>ZGODNE</v>
      </c>
      <c r="AF23" s="186" t="str">
        <f t="shared" si="6"/>
        <v>ZGODNE</v>
      </c>
      <c r="AG23" s="186" t="str">
        <f t="shared" si="6"/>
        <v>ZGODNE</v>
      </c>
      <c r="AH23" s="186" t="str">
        <f t="shared" si="6"/>
        <v>ZGODNE</v>
      </c>
      <c r="AI23" s="186" t="str">
        <f t="shared" si="6"/>
        <v>ZGODNE</v>
      </c>
      <c r="AJ23" s="186" t="str">
        <f t="shared" si="6"/>
        <v>ZGODNE</v>
      </c>
      <c r="AK23" s="186" t="str">
        <f t="shared" si="6"/>
        <v>ZGODNE</v>
      </c>
      <c r="AL23" s="186" t="str">
        <f t="shared" si="6"/>
        <v>ZGODNE</v>
      </c>
      <c r="AM23" s="186" t="str">
        <f t="shared" si="6"/>
        <v>ZGODNE</v>
      </c>
      <c r="AN23" s="186" t="str">
        <f t="shared" si="6"/>
        <v>ZGODNE</v>
      </c>
      <c r="AO23" s="186" t="str">
        <f t="shared" si="6"/>
        <v>ZGODNE</v>
      </c>
      <c r="AP23" s="186" t="str">
        <f t="shared" si="6"/>
        <v>ZGODNE</v>
      </c>
      <c r="AQ23" s="186" t="str">
        <f t="shared" si="6"/>
        <v>ZGODNE</v>
      </c>
    </row>
    <row r="24" spans="1:43" ht="24">
      <c r="A24" s="214" t="s">
        <v>225</v>
      </c>
      <c r="B24" s="229"/>
      <c r="C24" s="229"/>
      <c r="D24" s="230"/>
      <c r="E24" s="188">
        <f>+Zal_1_WPF_uklad_budzetu!C34+Zal_1_WPF_uklad_budzetu!C17</f>
        <v>0</v>
      </c>
      <c r="F24" s="188">
        <f>+Zal_1_WPF_uklad_budzetu!D34+Zal_1_WPF_uklad_budzetu!D17</f>
        <v>0</v>
      </c>
      <c r="G24" s="188">
        <f>+Zal_1_WPF_uklad_budzetu!E34+Zal_1_WPF_uklad_budzetu!E17</f>
        <v>0</v>
      </c>
      <c r="H24" s="188">
        <f>+Zal_1_WPF_uklad_budzetu!F34+Zal_1_WPF_uklad_budzetu!F17</f>
        <v>0</v>
      </c>
      <c r="I24" s="188">
        <f>+Zal_1_WPF_uklad_budzetu!G34+Zal_1_WPF_uklad_budzetu!G17</f>
        <v>0</v>
      </c>
      <c r="J24" s="188">
        <f>+Zal_1_WPF_uklad_budzetu!H34+Zal_1_WPF_uklad_budzetu!H17</f>
        <v>0</v>
      </c>
      <c r="K24" s="188">
        <f>+Zal_1_WPF_uklad_budzetu!I34+Zal_1_WPF_uklad_budzetu!I17</f>
        <v>0</v>
      </c>
      <c r="L24" s="188">
        <f>+Zal_1_WPF_uklad_budzetu!J34+Zal_1_WPF_uklad_budzetu!J17</f>
        <v>0</v>
      </c>
      <c r="M24" s="188">
        <f>+Zal_1_WPF_uklad_budzetu!K34+Zal_1_WPF_uklad_budzetu!K17</f>
        <v>0</v>
      </c>
      <c r="N24" s="188">
        <f>+Zal_1_WPF_uklad_budzetu!L34+Zal_1_WPF_uklad_budzetu!L17</f>
        <v>0</v>
      </c>
      <c r="O24" s="188">
        <f>+Zal_1_WPF_uklad_budzetu!M34+Zal_1_WPF_uklad_budzetu!M17</f>
        <v>0</v>
      </c>
      <c r="P24" s="188">
        <f>+Zal_1_WPF_uklad_budzetu!N34+Zal_1_WPF_uklad_budzetu!N17</f>
        <v>0</v>
      </c>
      <c r="Q24" s="188">
        <f>+Zal_1_WPF_uklad_budzetu!O34+Zal_1_WPF_uklad_budzetu!O17</f>
        <v>0</v>
      </c>
      <c r="R24" s="188">
        <f>+Zal_1_WPF_uklad_budzetu!P34+Zal_1_WPF_uklad_budzetu!P17</f>
        <v>0</v>
      </c>
      <c r="S24" s="188">
        <f>+Zal_1_WPF_uklad_budzetu!Q34+Zal_1_WPF_uklad_budzetu!Q17</f>
        <v>0</v>
      </c>
      <c r="T24" s="188">
        <f>+Zal_1_WPF_uklad_budzetu!R34+Zal_1_WPF_uklad_budzetu!R17</f>
        <v>0</v>
      </c>
      <c r="U24" s="188">
        <f>+Zal_1_WPF_uklad_budzetu!S34+Zal_1_WPF_uklad_budzetu!S17</f>
        <v>0</v>
      </c>
      <c r="V24" s="188">
        <f>+Zal_1_WPF_uklad_budzetu!T34+Zal_1_WPF_uklad_budzetu!T17</f>
        <v>0</v>
      </c>
      <c r="W24" s="188">
        <f>+Zal_1_WPF_uklad_budzetu!U34+Zal_1_WPF_uklad_budzetu!U17</f>
        <v>0</v>
      </c>
      <c r="X24" s="188">
        <f>+Zal_1_WPF_uklad_budzetu!V34+Zal_1_WPF_uklad_budzetu!V17</f>
        <v>0</v>
      </c>
      <c r="Y24" s="188">
        <f>+Zal_1_WPF_uklad_budzetu!W34+Zal_1_WPF_uklad_budzetu!W17</f>
        <v>0</v>
      </c>
      <c r="Z24" s="188">
        <f>+Zal_1_WPF_uklad_budzetu!X34+Zal_1_WPF_uklad_budzetu!X17</f>
        <v>0</v>
      </c>
      <c r="AA24" s="188">
        <f>+Zal_1_WPF_uklad_budzetu!Y34+Zal_1_WPF_uklad_budzetu!Y17</f>
        <v>0</v>
      </c>
      <c r="AB24" s="188">
        <f>+Zal_1_WPF_uklad_budzetu!Z34+Zal_1_WPF_uklad_budzetu!Z17</f>
        <v>0</v>
      </c>
      <c r="AC24" s="188">
        <f>+Zal_1_WPF_uklad_budzetu!AA34+Zal_1_WPF_uklad_budzetu!AA17</f>
        <v>0</v>
      </c>
      <c r="AD24" s="188">
        <f>+Zal_1_WPF_uklad_budzetu!AB34+Zal_1_WPF_uklad_budzetu!AB17</f>
        <v>0</v>
      </c>
      <c r="AE24" s="188">
        <f>+Zal_1_WPF_uklad_budzetu!AC34+Zal_1_WPF_uklad_budzetu!AC17</f>
        <v>0</v>
      </c>
      <c r="AF24" s="188">
        <f>+Zal_1_WPF_uklad_budzetu!AD34+Zal_1_WPF_uklad_budzetu!AD17</f>
        <v>0</v>
      </c>
      <c r="AG24" s="188">
        <f>+Zal_1_WPF_uklad_budzetu!AE34+Zal_1_WPF_uklad_budzetu!AE17</f>
        <v>0</v>
      </c>
      <c r="AH24" s="188">
        <f>+Zal_1_WPF_uklad_budzetu!AF34+Zal_1_WPF_uklad_budzetu!AF17</f>
        <v>0</v>
      </c>
      <c r="AI24" s="188">
        <f>+Zal_1_WPF_uklad_budzetu!AG34+Zal_1_WPF_uklad_budzetu!AG17</f>
        <v>0</v>
      </c>
      <c r="AJ24" s="188">
        <f>+Zal_1_WPF_uklad_budzetu!AH34+Zal_1_WPF_uklad_budzetu!AH17</f>
        <v>0</v>
      </c>
      <c r="AK24" s="188">
        <f>+Zal_1_WPF_uklad_budzetu!AI34+Zal_1_WPF_uklad_budzetu!AI17</f>
        <v>0</v>
      </c>
      <c r="AL24" s="188">
        <f>+Zal_1_WPF_uklad_budzetu!AJ34+Zal_1_WPF_uklad_budzetu!AJ17</f>
        <v>0</v>
      </c>
      <c r="AM24" s="188">
        <f>+Zal_1_WPF_uklad_budzetu!AK34+Zal_1_WPF_uklad_budzetu!AK17</f>
        <v>0</v>
      </c>
      <c r="AN24" s="188">
        <f>+Zal_1_WPF_uklad_budzetu!AL34+Zal_1_WPF_uklad_budzetu!AL17</f>
        <v>0</v>
      </c>
      <c r="AO24" s="188">
        <f>+Zal_1_WPF_uklad_budzetu!AM34+Zal_1_WPF_uklad_budzetu!AM17</f>
        <v>0</v>
      </c>
      <c r="AP24" s="188">
        <f>+Zal_1_WPF_uklad_budzetu!AN34+Zal_1_WPF_uklad_budzetu!AN17</f>
        <v>0</v>
      </c>
      <c r="AQ24" s="188">
        <f>+Zal_1_WPF_uklad_budzetu!AO34+Zal_1_WPF_uklad_budzetu!AO17</f>
        <v>0</v>
      </c>
    </row>
    <row r="25" spans="1:43" ht="14.25">
      <c r="A25" s="195" t="s">
        <v>217</v>
      </c>
      <c r="B25" s="229"/>
      <c r="C25" s="229"/>
      <c r="D25" s="230"/>
      <c r="E25" s="192">
        <f>+E20-E24</f>
        <v>3760952</v>
      </c>
      <c r="F25" s="192">
        <f aca="true" t="shared" si="7" ref="F25:AQ25">+F20-F24</f>
        <v>4380600</v>
      </c>
      <c r="G25" s="192">
        <f t="shared" si="7"/>
        <v>1381000</v>
      </c>
      <c r="H25" s="192">
        <f t="shared" si="7"/>
        <v>1926900</v>
      </c>
      <c r="I25" s="192">
        <f t="shared" si="7"/>
        <v>1990000</v>
      </c>
      <c r="J25" s="192">
        <f t="shared" si="7"/>
        <v>2044000</v>
      </c>
      <c r="K25" s="192">
        <f t="shared" si="7"/>
        <v>2200000</v>
      </c>
      <c r="L25" s="192">
        <f t="shared" si="7"/>
        <v>2570000</v>
      </c>
      <c r="M25" s="192">
        <f t="shared" si="7"/>
        <v>716400</v>
      </c>
      <c r="N25" s="192">
        <f t="shared" si="7"/>
        <v>2696576</v>
      </c>
      <c r="O25" s="192">
        <f t="shared" si="7"/>
        <v>1813635</v>
      </c>
      <c r="P25" s="192">
        <f t="shared" si="7"/>
        <v>0</v>
      </c>
      <c r="Q25" s="192">
        <f t="shared" si="7"/>
        <v>0</v>
      </c>
      <c r="R25" s="192">
        <f t="shared" si="7"/>
        <v>0</v>
      </c>
      <c r="S25" s="192">
        <f t="shared" si="7"/>
        <v>0</v>
      </c>
      <c r="T25" s="192">
        <f t="shared" si="7"/>
        <v>0</v>
      </c>
      <c r="U25" s="192">
        <f t="shared" si="7"/>
        <v>0</v>
      </c>
      <c r="V25" s="192">
        <f t="shared" si="7"/>
        <v>0</v>
      </c>
      <c r="W25" s="192">
        <f t="shared" si="7"/>
        <v>0</v>
      </c>
      <c r="X25" s="192">
        <f t="shared" si="7"/>
        <v>0</v>
      </c>
      <c r="Y25" s="192">
        <f t="shared" si="7"/>
        <v>0</v>
      </c>
      <c r="Z25" s="192">
        <f t="shared" si="7"/>
        <v>0</v>
      </c>
      <c r="AA25" s="192">
        <f t="shared" si="7"/>
        <v>0</v>
      </c>
      <c r="AB25" s="192">
        <f t="shared" si="7"/>
        <v>0</v>
      </c>
      <c r="AC25" s="192">
        <f t="shared" si="7"/>
        <v>0</v>
      </c>
      <c r="AD25" s="192">
        <f t="shared" si="7"/>
        <v>0</v>
      </c>
      <c r="AE25" s="192">
        <f t="shared" si="7"/>
        <v>0</v>
      </c>
      <c r="AF25" s="192">
        <f t="shared" si="7"/>
        <v>0</v>
      </c>
      <c r="AG25" s="192">
        <f t="shared" si="7"/>
        <v>0</v>
      </c>
      <c r="AH25" s="192">
        <f t="shared" si="7"/>
        <v>0</v>
      </c>
      <c r="AI25" s="192">
        <f t="shared" si="7"/>
        <v>0</v>
      </c>
      <c r="AJ25" s="192">
        <f t="shared" si="7"/>
        <v>0</v>
      </c>
      <c r="AK25" s="192">
        <f t="shared" si="7"/>
        <v>0</v>
      </c>
      <c r="AL25" s="192">
        <f t="shared" si="7"/>
        <v>0</v>
      </c>
      <c r="AM25" s="192">
        <f t="shared" si="7"/>
        <v>0</v>
      </c>
      <c r="AN25" s="192">
        <f t="shared" si="7"/>
        <v>0</v>
      </c>
      <c r="AO25" s="192">
        <f t="shared" si="7"/>
        <v>0</v>
      </c>
      <c r="AP25" s="192">
        <f t="shared" si="7"/>
        <v>0</v>
      </c>
      <c r="AQ25" s="192">
        <f t="shared" si="7"/>
        <v>0</v>
      </c>
    </row>
    <row r="26" spans="1:43" ht="24">
      <c r="A26" s="195" t="s">
        <v>226</v>
      </c>
      <c r="B26" s="229"/>
      <c r="C26" s="229"/>
      <c r="D26" s="230"/>
      <c r="E26" s="193">
        <f>+IF(E21&lt;&gt;0,E25/E21,0)</f>
        <v>0.11755976745385967</v>
      </c>
      <c r="F26" s="193">
        <f aca="true" t="shared" si="8" ref="F26:AQ26">+IF(F21&lt;&gt;0,F25/F21,0)</f>
        <v>0.14002759828055597</v>
      </c>
      <c r="G26" s="193">
        <f t="shared" si="8"/>
        <v>0.04343537249040026</v>
      </c>
      <c r="H26" s="193">
        <f t="shared" si="8"/>
        <v>0.059261379744178076</v>
      </c>
      <c r="I26" s="193">
        <f t="shared" si="8"/>
        <v>0.059228326926554616</v>
      </c>
      <c r="J26" s="193">
        <f t="shared" si="8"/>
        <v>0.061955391572472394</v>
      </c>
      <c r="K26" s="193">
        <f t="shared" si="8"/>
        <v>0.06493847094636575</v>
      </c>
      <c r="L26" s="193">
        <f t="shared" si="8"/>
        <v>0.07343996511458778</v>
      </c>
      <c r="M26" s="193">
        <f t="shared" si="8"/>
        <v>0.020328359761572518</v>
      </c>
      <c r="N26" s="193">
        <f t="shared" si="8"/>
        <v>0.07284174952604223</v>
      </c>
      <c r="O26" s="193">
        <f t="shared" si="8"/>
        <v>0.04756421924248152</v>
      </c>
      <c r="P26" s="193">
        <f t="shared" si="8"/>
        <v>0</v>
      </c>
      <c r="Q26" s="193">
        <f t="shared" si="8"/>
        <v>0</v>
      </c>
      <c r="R26" s="193">
        <f t="shared" si="8"/>
        <v>0</v>
      </c>
      <c r="S26" s="193">
        <f t="shared" si="8"/>
        <v>0</v>
      </c>
      <c r="T26" s="193">
        <f t="shared" si="8"/>
        <v>0</v>
      </c>
      <c r="U26" s="193">
        <f t="shared" si="8"/>
        <v>0</v>
      </c>
      <c r="V26" s="193">
        <f t="shared" si="8"/>
        <v>0</v>
      </c>
      <c r="W26" s="193">
        <f t="shared" si="8"/>
        <v>0</v>
      </c>
      <c r="X26" s="193">
        <f t="shared" si="8"/>
        <v>0</v>
      </c>
      <c r="Y26" s="193">
        <f t="shared" si="8"/>
        <v>0</v>
      </c>
      <c r="Z26" s="193">
        <f t="shared" si="8"/>
        <v>0</v>
      </c>
      <c r="AA26" s="193">
        <f t="shared" si="8"/>
        <v>0</v>
      </c>
      <c r="AB26" s="193">
        <f t="shared" si="8"/>
        <v>0</v>
      </c>
      <c r="AC26" s="193">
        <f t="shared" si="8"/>
        <v>0</v>
      </c>
      <c r="AD26" s="193">
        <f t="shared" si="8"/>
        <v>0</v>
      </c>
      <c r="AE26" s="193">
        <f t="shared" si="8"/>
        <v>0</v>
      </c>
      <c r="AF26" s="193">
        <f t="shared" si="8"/>
        <v>0</v>
      </c>
      <c r="AG26" s="193">
        <f t="shared" si="8"/>
        <v>0</v>
      </c>
      <c r="AH26" s="193">
        <f t="shared" si="8"/>
        <v>0</v>
      </c>
      <c r="AI26" s="193">
        <f t="shared" si="8"/>
        <v>0</v>
      </c>
      <c r="AJ26" s="193">
        <f t="shared" si="8"/>
        <v>0</v>
      </c>
      <c r="AK26" s="193">
        <f t="shared" si="8"/>
        <v>0</v>
      </c>
      <c r="AL26" s="193">
        <f t="shared" si="8"/>
        <v>0</v>
      </c>
      <c r="AM26" s="193">
        <f t="shared" si="8"/>
        <v>0</v>
      </c>
      <c r="AN26" s="193">
        <f t="shared" si="8"/>
        <v>0</v>
      </c>
      <c r="AO26" s="193">
        <f t="shared" si="8"/>
        <v>0</v>
      </c>
      <c r="AP26" s="193">
        <f t="shared" si="8"/>
        <v>0</v>
      </c>
      <c r="AQ26" s="193">
        <f t="shared" si="8"/>
        <v>0</v>
      </c>
    </row>
    <row r="27" spans="1:43" ht="32.25" customHeight="1">
      <c r="A27" s="210" t="s">
        <v>218</v>
      </c>
      <c r="B27" s="231"/>
      <c r="C27" s="231"/>
      <c r="D27" s="232"/>
      <c r="E27" s="186" t="str">
        <f>+IF(E26&lt;=E13,"ZGODNE","NIE ZGODNE")</f>
        <v>NIE ZGODNE</v>
      </c>
      <c r="F27" s="186" t="str">
        <f aca="true" t="shared" si="9" ref="F27:AQ27">+IF(F26&lt;=F13,"ZGODNE","NIE ZGODNE")</f>
        <v>NIE ZGODNE</v>
      </c>
      <c r="G27" s="186" t="str">
        <f t="shared" si="9"/>
        <v>ZGODNE</v>
      </c>
      <c r="H27" s="186" t="str">
        <f t="shared" si="9"/>
        <v>ZGODNE</v>
      </c>
      <c r="I27" s="186" t="str">
        <f t="shared" si="9"/>
        <v>ZGODNE</v>
      </c>
      <c r="J27" s="186" t="str">
        <f t="shared" si="9"/>
        <v>ZGODNE</v>
      </c>
      <c r="K27" s="186" t="str">
        <f t="shared" si="9"/>
        <v>ZGODNE</v>
      </c>
      <c r="L27" s="186" t="str">
        <f t="shared" si="9"/>
        <v>ZGODNE</v>
      </c>
      <c r="M27" s="186" t="str">
        <f t="shared" si="9"/>
        <v>ZGODNE</v>
      </c>
      <c r="N27" s="186" t="str">
        <f t="shared" si="9"/>
        <v>ZGODNE</v>
      </c>
      <c r="O27" s="186" t="str">
        <f t="shared" si="9"/>
        <v>ZGODNE</v>
      </c>
      <c r="P27" s="186" t="str">
        <f t="shared" si="9"/>
        <v>ZGODNE</v>
      </c>
      <c r="Q27" s="186" t="str">
        <f t="shared" si="9"/>
        <v>ZGODNE</v>
      </c>
      <c r="R27" s="186" t="str">
        <f t="shared" si="9"/>
        <v>ZGODNE</v>
      </c>
      <c r="S27" s="186" t="str">
        <f t="shared" si="9"/>
        <v>ZGODNE</v>
      </c>
      <c r="T27" s="186" t="str">
        <f t="shared" si="9"/>
        <v>ZGODNE</v>
      </c>
      <c r="U27" s="186" t="str">
        <f t="shared" si="9"/>
        <v>ZGODNE</v>
      </c>
      <c r="V27" s="186" t="str">
        <f t="shared" si="9"/>
        <v>ZGODNE</v>
      </c>
      <c r="W27" s="186" t="str">
        <f t="shared" si="9"/>
        <v>ZGODNE</v>
      </c>
      <c r="X27" s="186" t="str">
        <f t="shared" si="9"/>
        <v>ZGODNE</v>
      </c>
      <c r="Y27" s="186" t="str">
        <f t="shared" si="9"/>
        <v>ZGODNE</v>
      </c>
      <c r="Z27" s="186" t="str">
        <f t="shared" si="9"/>
        <v>ZGODNE</v>
      </c>
      <c r="AA27" s="186" t="str">
        <f t="shared" si="9"/>
        <v>ZGODNE</v>
      </c>
      <c r="AB27" s="186" t="str">
        <f t="shared" si="9"/>
        <v>ZGODNE</v>
      </c>
      <c r="AC27" s="186" t="str">
        <f t="shared" si="9"/>
        <v>ZGODNE</v>
      </c>
      <c r="AD27" s="186" t="str">
        <f t="shared" si="9"/>
        <v>ZGODNE</v>
      </c>
      <c r="AE27" s="186" t="str">
        <f t="shared" si="9"/>
        <v>ZGODNE</v>
      </c>
      <c r="AF27" s="186" t="str">
        <f t="shared" si="9"/>
        <v>ZGODNE</v>
      </c>
      <c r="AG27" s="186" t="str">
        <f t="shared" si="9"/>
        <v>ZGODNE</v>
      </c>
      <c r="AH27" s="186" t="str">
        <f t="shared" si="9"/>
        <v>ZGODNE</v>
      </c>
      <c r="AI27" s="186" t="str">
        <f t="shared" si="9"/>
        <v>ZGODNE</v>
      </c>
      <c r="AJ27" s="186" t="str">
        <f t="shared" si="9"/>
        <v>ZGODNE</v>
      </c>
      <c r="AK27" s="186" t="str">
        <f t="shared" si="9"/>
        <v>ZGODNE</v>
      </c>
      <c r="AL27" s="186" t="str">
        <f t="shared" si="9"/>
        <v>ZGODNE</v>
      </c>
      <c r="AM27" s="186" t="str">
        <f t="shared" si="9"/>
        <v>ZGODNE</v>
      </c>
      <c r="AN27" s="186" t="str">
        <f t="shared" si="9"/>
        <v>ZGODNE</v>
      </c>
      <c r="AO27" s="186" t="str">
        <f t="shared" si="9"/>
        <v>ZGODNE</v>
      </c>
      <c r="AP27" s="186" t="str">
        <f t="shared" si="9"/>
        <v>ZGODNE</v>
      </c>
      <c r="AQ27" s="186" t="str">
        <f t="shared" si="9"/>
        <v>ZGODNE</v>
      </c>
    </row>
    <row r="29" ht="14.25">
      <c r="A29" s="223" t="s">
        <v>235</v>
      </c>
    </row>
    <row r="30" spans="1:43" ht="14.25">
      <c r="A30" s="209" t="s">
        <v>233</v>
      </c>
      <c r="E30" s="222">
        <f>+E$13-E22</f>
        <v>-0.024593100787193012</v>
      </c>
      <c r="F30" s="222">
        <f aca="true" t="shared" si="10" ref="F30:AQ30">+F$13-F22</f>
        <v>-0.08413121659114539</v>
      </c>
      <c r="G30" s="222">
        <f t="shared" si="10"/>
        <v>0.000494219535906483</v>
      </c>
      <c r="H30" s="222">
        <f t="shared" si="10"/>
        <v>0.0014441846046438223</v>
      </c>
      <c r="I30" s="222">
        <f t="shared" si="10"/>
        <v>0.00438437664634083</v>
      </c>
      <c r="J30" s="222">
        <f t="shared" si="10"/>
        <v>0.00016864714336185804</v>
      </c>
      <c r="K30" s="222">
        <f t="shared" si="10"/>
        <v>0.0035006665919198043</v>
      </c>
      <c r="L30" s="222">
        <f t="shared" si="10"/>
        <v>0.0009998165928981756</v>
      </c>
      <c r="M30" s="222">
        <f t="shared" si="10"/>
        <v>0.06369344649299026</v>
      </c>
      <c r="N30" s="222">
        <f t="shared" si="10"/>
        <v>0.004613794103070168</v>
      </c>
      <c r="O30" s="222">
        <f t="shared" si="10"/>
        <v>0.03493408738620162</v>
      </c>
      <c r="P30" s="222">
        <f t="shared" si="10"/>
        <v>0.08437213236291678</v>
      </c>
      <c r="Q30" s="222">
        <f t="shared" si="10"/>
        <v>0.06441399051006737</v>
      </c>
      <c r="R30" s="222">
        <f t="shared" si="10"/>
        <v>0.03323372909447877</v>
      </c>
      <c r="S30" s="222">
        <f t="shared" si="10"/>
        <v>0</v>
      </c>
      <c r="T30" s="222">
        <f t="shared" si="10"/>
        <v>0</v>
      </c>
      <c r="U30" s="222">
        <f t="shared" si="10"/>
        <v>0</v>
      </c>
      <c r="V30" s="222">
        <f t="shared" si="10"/>
        <v>0</v>
      </c>
      <c r="W30" s="222">
        <f t="shared" si="10"/>
        <v>0</v>
      </c>
      <c r="X30" s="222">
        <f t="shared" si="10"/>
        <v>0</v>
      </c>
      <c r="Y30" s="222">
        <f t="shared" si="10"/>
        <v>0</v>
      </c>
      <c r="Z30" s="222">
        <f t="shared" si="10"/>
        <v>0</v>
      </c>
      <c r="AA30" s="222">
        <f t="shared" si="10"/>
        <v>0</v>
      </c>
      <c r="AB30" s="222">
        <f t="shared" si="10"/>
        <v>0</v>
      </c>
      <c r="AC30" s="222">
        <f t="shared" si="10"/>
        <v>0</v>
      </c>
      <c r="AD30" s="222">
        <f t="shared" si="10"/>
        <v>0</v>
      </c>
      <c r="AE30" s="222">
        <f t="shared" si="10"/>
        <v>0</v>
      </c>
      <c r="AF30" s="222">
        <f t="shared" si="10"/>
        <v>0</v>
      </c>
      <c r="AG30" s="222">
        <f t="shared" si="10"/>
        <v>0</v>
      </c>
      <c r="AH30" s="222">
        <f t="shared" si="10"/>
        <v>0</v>
      </c>
      <c r="AI30" s="222">
        <f t="shared" si="10"/>
        <v>0</v>
      </c>
      <c r="AJ30" s="222">
        <f t="shared" si="10"/>
        <v>0</v>
      </c>
      <c r="AK30" s="222">
        <f t="shared" si="10"/>
        <v>0</v>
      </c>
      <c r="AL30" s="222">
        <f t="shared" si="10"/>
        <v>0</v>
      </c>
      <c r="AM30" s="222">
        <f t="shared" si="10"/>
        <v>0</v>
      </c>
      <c r="AN30" s="222">
        <f t="shared" si="10"/>
        <v>0</v>
      </c>
      <c r="AO30" s="222">
        <f t="shared" si="10"/>
        <v>0</v>
      </c>
      <c r="AP30" s="222">
        <f t="shared" si="10"/>
        <v>0</v>
      </c>
      <c r="AQ30" s="222">
        <f t="shared" si="10"/>
        <v>0</v>
      </c>
    </row>
    <row r="31" spans="1:43" ht="14.25">
      <c r="A31" s="210" t="s">
        <v>234</v>
      </c>
      <c r="E31" s="222">
        <f>+E$13-E26</f>
        <v>-0.024593100787193012</v>
      </c>
      <c r="F31" s="222">
        <f aca="true" t="shared" si="11" ref="F31:AQ31">+F$13-F26</f>
        <v>-0.08413121659114539</v>
      </c>
      <c r="G31" s="222">
        <f t="shared" si="11"/>
        <v>0.000494219535906483</v>
      </c>
      <c r="H31" s="222">
        <f t="shared" si="11"/>
        <v>0.0014441846046438223</v>
      </c>
      <c r="I31" s="222">
        <f t="shared" si="11"/>
        <v>0.00438437664634083</v>
      </c>
      <c r="J31" s="222">
        <f t="shared" si="11"/>
        <v>0.00016864714336185804</v>
      </c>
      <c r="K31" s="222">
        <f t="shared" si="11"/>
        <v>0.0035006665919198043</v>
      </c>
      <c r="L31" s="222">
        <f t="shared" si="11"/>
        <v>0.0009998165928981756</v>
      </c>
      <c r="M31" s="222">
        <f t="shared" si="11"/>
        <v>0.06369344649299026</v>
      </c>
      <c r="N31" s="222">
        <f t="shared" si="11"/>
        <v>0.004613794103070168</v>
      </c>
      <c r="O31" s="222">
        <f t="shared" si="11"/>
        <v>0.03493408738620162</v>
      </c>
      <c r="P31" s="222">
        <f t="shared" si="11"/>
        <v>0.08437213236291678</v>
      </c>
      <c r="Q31" s="222">
        <f t="shared" si="11"/>
        <v>0.06441399051006737</v>
      </c>
      <c r="R31" s="222">
        <f t="shared" si="11"/>
        <v>0.03323372909447877</v>
      </c>
      <c r="S31" s="222">
        <f t="shared" si="11"/>
        <v>0</v>
      </c>
      <c r="T31" s="222">
        <f t="shared" si="11"/>
        <v>0</v>
      </c>
      <c r="U31" s="222">
        <f t="shared" si="11"/>
        <v>0</v>
      </c>
      <c r="V31" s="222">
        <f t="shared" si="11"/>
        <v>0</v>
      </c>
      <c r="W31" s="222">
        <f t="shared" si="11"/>
        <v>0</v>
      </c>
      <c r="X31" s="222">
        <f t="shared" si="11"/>
        <v>0</v>
      </c>
      <c r="Y31" s="222">
        <f t="shared" si="11"/>
        <v>0</v>
      </c>
      <c r="Z31" s="222">
        <f t="shared" si="11"/>
        <v>0</v>
      </c>
      <c r="AA31" s="222">
        <f t="shared" si="11"/>
        <v>0</v>
      </c>
      <c r="AB31" s="222">
        <f t="shared" si="11"/>
        <v>0</v>
      </c>
      <c r="AC31" s="222">
        <f t="shared" si="11"/>
        <v>0</v>
      </c>
      <c r="AD31" s="222">
        <f t="shared" si="11"/>
        <v>0</v>
      </c>
      <c r="AE31" s="222">
        <f t="shared" si="11"/>
        <v>0</v>
      </c>
      <c r="AF31" s="222">
        <f t="shared" si="11"/>
        <v>0</v>
      </c>
      <c r="AG31" s="222">
        <f t="shared" si="11"/>
        <v>0</v>
      </c>
      <c r="AH31" s="222">
        <f t="shared" si="11"/>
        <v>0</v>
      </c>
      <c r="AI31" s="222">
        <f t="shared" si="11"/>
        <v>0</v>
      </c>
      <c r="AJ31" s="222">
        <f t="shared" si="11"/>
        <v>0</v>
      </c>
      <c r="AK31" s="222">
        <f t="shared" si="11"/>
        <v>0</v>
      </c>
      <c r="AL31" s="222">
        <f t="shared" si="11"/>
        <v>0</v>
      </c>
      <c r="AM31" s="222">
        <f t="shared" si="11"/>
        <v>0</v>
      </c>
      <c r="AN31" s="222">
        <f t="shared" si="11"/>
        <v>0</v>
      </c>
      <c r="AO31" s="222">
        <f t="shared" si="11"/>
        <v>0</v>
      </c>
      <c r="AP31" s="222">
        <f t="shared" si="11"/>
        <v>0</v>
      </c>
      <c r="AQ31" s="222">
        <f t="shared" si="11"/>
        <v>0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391"/>
  <sheetViews>
    <sheetView zoomScalePageLayoutView="0" workbookViewId="0" topLeftCell="H1">
      <selection activeCell="O4" sqref="O4:O39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236</v>
      </c>
      <c r="C4" s="98" t="s">
        <v>237</v>
      </c>
      <c r="D4" s="99">
        <v>1425062</v>
      </c>
      <c r="E4" s="99">
        <v>2</v>
      </c>
      <c r="F4" s="99"/>
      <c r="G4" s="99">
        <v>45</v>
      </c>
      <c r="H4" s="99" t="s">
        <v>148</v>
      </c>
      <c r="I4" s="99" t="s">
        <v>238</v>
      </c>
      <c r="J4" s="99" t="s">
        <v>53</v>
      </c>
      <c r="K4" s="99" t="b">
        <v>0</v>
      </c>
      <c r="L4" s="95">
        <v>2020</v>
      </c>
      <c r="M4" s="96">
        <v>0.084</v>
      </c>
      <c r="N4" s="100">
        <v>41152</v>
      </c>
      <c r="O4" s="100">
        <v>41152</v>
      </c>
    </row>
    <row r="5" spans="1:15" ht="14.25">
      <c r="A5" s="97">
        <v>2012</v>
      </c>
      <c r="B5" s="98" t="s">
        <v>236</v>
      </c>
      <c r="C5" s="98" t="s">
        <v>237</v>
      </c>
      <c r="D5" s="99">
        <v>1425062</v>
      </c>
      <c r="E5" s="99">
        <v>2</v>
      </c>
      <c r="F5" s="99"/>
      <c r="G5" s="99">
        <v>53</v>
      </c>
      <c r="H5" s="99">
        <v>26</v>
      </c>
      <c r="I5" s="99" t="s">
        <v>239</v>
      </c>
      <c r="J5" s="99" t="s">
        <v>153</v>
      </c>
      <c r="K5" s="99" t="b">
        <v>1</v>
      </c>
      <c r="L5" s="95">
        <v>2018</v>
      </c>
      <c r="M5" s="96">
        <v>33878223</v>
      </c>
      <c r="N5" s="100">
        <v>41152</v>
      </c>
      <c r="O5" s="100">
        <v>41152</v>
      </c>
    </row>
    <row r="6" spans="1:15" ht="14.25">
      <c r="A6" s="97">
        <v>2012</v>
      </c>
      <c r="B6" s="98" t="s">
        <v>236</v>
      </c>
      <c r="C6" s="98" t="s">
        <v>237</v>
      </c>
      <c r="D6" s="99">
        <v>1425062</v>
      </c>
      <c r="E6" s="99">
        <v>2</v>
      </c>
      <c r="F6" s="99"/>
      <c r="G6" s="99">
        <v>57</v>
      </c>
      <c r="H6" s="99">
        <v>30</v>
      </c>
      <c r="I6" s="99" t="s">
        <v>240</v>
      </c>
      <c r="J6" s="99" t="s">
        <v>155</v>
      </c>
      <c r="K6" s="99" t="b">
        <v>0</v>
      </c>
      <c r="L6" s="95">
        <v>2019</v>
      </c>
      <c r="M6" s="96">
        <v>2450000</v>
      </c>
      <c r="N6" s="100">
        <v>41152</v>
      </c>
      <c r="O6" s="100">
        <v>41152</v>
      </c>
    </row>
    <row r="7" spans="1:15" ht="14.25">
      <c r="A7" s="97">
        <v>2012</v>
      </c>
      <c r="B7" s="98" t="s">
        <v>236</v>
      </c>
      <c r="C7" s="98" t="s">
        <v>237</v>
      </c>
      <c r="D7" s="99">
        <v>1425062</v>
      </c>
      <c r="E7" s="99">
        <v>2</v>
      </c>
      <c r="F7" s="99"/>
      <c r="G7" s="99">
        <v>6</v>
      </c>
      <c r="H7" s="99" t="s">
        <v>104</v>
      </c>
      <c r="I7" s="99"/>
      <c r="J7" s="99" t="s">
        <v>105</v>
      </c>
      <c r="K7" s="99" t="b">
        <v>1</v>
      </c>
      <c r="L7" s="95">
        <v>2015</v>
      </c>
      <c r="M7" s="96">
        <v>1515000</v>
      </c>
      <c r="N7" s="100">
        <v>41152</v>
      </c>
      <c r="O7" s="100">
        <v>41152</v>
      </c>
    </row>
    <row r="8" spans="1:15" ht="14.25">
      <c r="A8" s="97">
        <v>2012</v>
      </c>
      <c r="B8" s="98" t="s">
        <v>236</v>
      </c>
      <c r="C8" s="98" t="s">
        <v>237</v>
      </c>
      <c r="D8" s="99">
        <v>1425062</v>
      </c>
      <c r="E8" s="99">
        <v>2</v>
      </c>
      <c r="F8" s="99"/>
      <c r="G8" s="99">
        <v>54</v>
      </c>
      <c r="H8" s="99">
        <v>27</v>
      </c>
      <c r="I8" s="99" t="s">
        <v>241</v>
      </c>
      <c r="J8" s="99" t="s">
        <v>46</v>
      </c>
      <c r="K8" s="99" t="b">
        <v>0</v>
      </c>
      <c r="L8" s="95">
        <v>2014</v>
      </c>
      <c r="M8" s="96">
        <v>31419737</v>
      </c>
      <c r="N8" s="100">
        <v>41152</v>
      </c>
      <c r="O8" s="100">
        <v>41152</v>
      </c>
    </row>
    <row r="9" spans="1:15" ht="14.25">
      <c r="A9" s="97">
        <v>2012</v>
      </c>
      <c r="B9" s="98" t="s">
        <v>236</v>
      </c>
      <c r="C9" s="98" t="s">
        <v>237</v>
      </c>
      <c r="D9" s="99">
        <v>1425062</v>
      </c>
      <c r="E9" s="99">
        <v>2</v>
      </c>
      <c r="F9" s="99"/>
      <c r="G9" s="99">
        <v>48</v>
      </c>
      <c r="H9" s="99">
        <v>22</v>
      </c>
      <c r="I9" s="99" t="s">
        <v>242</v>
      </c>
      <c r="J9" s="99" t="s">
        <v>79</v>
      </c>
      <c r="K9" s="99" t="b">
        <v>0</v>
      </c>
      <c r="L9" s="95">
        <v>2021</v>
      </c>
      <c r="M9" s="96">
        <v>0.0728</v>
      </c>
      <c r="N9" s="100">
        <v>41152</v>
      </c>
      <c r="O9" s="100">
        <v>41152</v>
      </c>
    </row>
    <row r="10" spans="1:15" ht="14.25">
      <c r="A10" s="97">
        <v>2012</v>
      </c>
      <c r="B10" s="98" t="s">
        <v>236</v>
      </c>
      <c r="C10" s="98" t="s">
        <v>237</v>
      </c>
      <c r="D10" s="99">
        <v>1425062</v>
      </c>
      <c r="E10" s="99">
        <v>2</v>
      </c>
      <c r="F10" s="99"/>
      <c r="G10" s="99">
        <v>21</v>
      </c>
      <c r="H10" s="99" t="s">
        <v>124</v>
      </c>
      <c r="I10" s="99"/>
      <c r="J10" s="99" t="s">
        <v>125</v>
      </c>
      <c r="K10" s="99" t="b">
        <v>1</v>
      </c>
      <c r="L10" s="95">
        <v>2015</v>
      </c>
      <c r="M10" s="96">
        <v>1396900</v>
      </c>
      <c r="N10" s="100">
        <v>41152</v>
      </c>
      <c r="O10" s="100">
        <v>41152</v>
      </c>
    </row>
    <row r="11" spans="1:15" ht="14.25">
      <c r="A11" s="97">
        <v>2012</v>
      </c>
      <c r="B11" s="98" t="s">
        <v>236</v>
      </c>
      <c r="C11" s="98" t="s">
        <v>237</v>
      </c>
      <c r="D11" s="99">
        <v>1425062</v>
      </c>
      <c r="E11" s="99">
        <v>2</v>
      </c>
      <c r="F11" s="99"/>
      <c r="G11" s="99">
        <v>14</v>
      </c>
      <c r="H11" s="99">
        <v>3</v>
      </c>
      <c r="I11" s="99" t="s">
        <v>243</v>
      </c>
      <c r="J11" s="99" t="s">
        <v>118</v>
      </c>
      <c r="K11" s="99" t="b">
        <v>1</v>
      </c>
      <c r="L11" s="95">
        <v>2015</v>
      </c>
      <c r="M11" s="96">
        <v>4019266</v>
      </c>
      <c r="N11" s="100">
        <v>41152</v>
      </c>
      <c r="O11" s="100">
        <v>41152</v>
      </c>
    </row>
    <row r="12" spans="1:15" ht="14.25">
      <c r="A12" s="97">
        <v>2012</v>
      </c>
      <c r="B12" s="98" t="s">
        <v>236</v>
      </c>
      <c r="C12" s="98" t="s">
        <v>237</v>
      </c>
      <c r="D12" s="99">
        <v>1425062</v>
      </c>
      <c r="E12" s="99">
        <v>2</v>
      </c>
      <c r="F12" s="99"/>
      <c r="G12" s="99">
        <v>29</v>
      </c>
      <c r="H12" s="99" t="s">
        <v>136</v>
      </c>
      <c r="I12" s="99"/>
      <c r="J12" s="99" t="s">
        <v>117</v>
      </c>
      <c r="K12" s="99" t="b">
        <v>0</v>
      </c>
      <c r="L12" s="95">
        <v>2014</v>
      </c>
      <c r="M12" s="96">
        <v>2900000</v>
      </c>
      <c r="N12" s="100">
        <v>41152</v>
      </c>
      <c r="O12" s="100">
        <v>41152</v>
      </c>
    </row>
    <row r="13" spans="1:15" ht="14.25">
      <c r="A13" s="97">
        <v>2012</v>
      </c>
      <c r="B13" s="98" t="s">
        <v>236</v>
      </c>
      <c r="C13" s="98" t="s">
        <v>237</v>
      </c>
      <c r="D13" s="99">
        <v>1425062</v>
      </c>
      <c r="E13" s="99">
        <v>2</v>
      </c>
      <c r="F13" s="99"/>
      <c r="G13" s="99">
        <v>8</v>
      </c>
      <c r="H13" s="99" t="s">
        <v>106</v>
      </c>
      <c r="I13" s="99"/>
      <c r="J13" s="99" t="s">
        <v>107</v>
      </c>
      <c r="K13" s="99" t="b">
        <v>0</v>
      </c>
      <c r="L13" s="95">
        <v>2019</v>
      </c>
      <c r="M13" s="96">
        <v>17721733</v>
      </c>
      <c r="N13" s="100">
        <v>41152</v>
      </c>
      <c r="O13" s="100">
        <v>41152</v>
      </c>
    </row>
    <row r="14" spans="1:15" ht="14.25">
      <c r="A14" s="97">
        <v>2012</v>
      </c>
      <c r="B14" s="98" t="s">
        <v>236</v>
      </c>
      <c r="C14" s="98" t="s">
        <v>237</v>
      </c>
      <c r="D14" s="99">
        <v>1425062</v>
      </c>
      <c r="E14" s="99">
        <v>2</v>
      </c>
      <c r="F14" s="99"/>
      <c r="G14" s="99">
        <v>57</v>
      </c>
      <c r="H14" s="99">
        <v>30</v>
      </c>
      <c r="I14" s="99" t="s">
        <v>240</v>
      </c>
      <c r="J14" s="99" t="s">
        <v>155</v>
      </c>
      <c r="K14" s="99" t="b">
        <v>0</v>
      </c>
      <c r="L14" s="95">
        <v>2022</v>
      </c>
      <c r="M14" s="96">
        <v>1693635</v>
      </c>
      <c r="N14" s="100">
        <v>41152</v>
      </c>
      <c r="O14" s="100">
        <v>41152</v>
      </c>
    </row>
    <row r="15" spans="1:15" ht="14.25">
      <c r="A15" s="97">
        <v>2012</v>
      </c>
      <c r="B15" s="98" t="s">
        <v>236</v>
      </c>
      <c r="C15" s="98" t="s">
        <v>237</v>
      </c>
      <c r="D15" s="99">
        <v>1425062</v>
      </c>
      <c r="E15" s="99">
        <v>2</v>
      </c>
      <c r="F15" s="99"/>
      <c r="G15" s="99">
        <v>47</v>
      </c>
      <c r="H15" s="99" t="s">
        <v>149</v>
      </c>
      <c r="I15" s="99" t="s">
        <v>244</v>
      </c>
      <c r="J15" s="99" t="s">
        <v>78</v>
      </c>
      <c r="K15" s="99" t="b">
        <v>0</v>
      </c>
      <c r="L15" s="95">
        <v>2017</v>
      </c>
      <c r="M15" s="96">
        <v>1</v>
      </c>
      <c r="N15" s="100">
        <v>41152</v>
      </c>
      <c r="O15" s="100">
        <v>41152</v>
      </c>
    </row>
    <row r="16" spans="1:15" ht="14.25">
      <c r="A16" s="97">
        <v>2012</v>
      </c>
      <c r="B16" s="98" t="s">
        <v>236</v>
      </c>
      <c r="C16" s="98" t="s">
        <v>237</v>
      </c>
      <c r="D16" s="99">
        <v>1425062</v>
      </c>
      <c r="E16" s="99">
        <v>2</v>
      </c>
      <c r="F16" s="99"/>
      <c r="G16" s="99">
        <v>3</v>
      </c>
      <c r="H16" s="99" t="s">
        <v>98</v>
      </c>
      <c r="I16" s="99"/>
      <c r="J16" s="99" t="s">
        <v>99</v>
      </c>
      <c r="K16" s="99" t="b">
        <v>1</v>
      </c>
      <c r="L16" s="95">
        <v>2014</v>
      </c>
      <c r="M16" s="96">
        <v>179000</v>
      </c>
      <c r="N16" s="100">
        <v>41152</v>
      </c>
      <c r="O16" s="100">
        <v>41152</v>
      </c>
    </row>
    <row r="17" spans="1:15" ht="14.25">
      <c r="A17" s="97">
        <v>2012</v>
      </c>
      <c r="B17" s="98" t="s">
        <v>236</v>
      </c>
      <c r="C17" s="98" t="s">
        <v>237</v>
      </c>
      <c r="D17" s="99">
        <v>1425062</v>
      </c>
      <c r="E17" s="99">
        <v>2</v>
      </c>
      <c r="F17" s="99"/>
      <c r="G17" s="99">
        <v>44</v>
      </c>
      <c r="H17" s="99">
        <v>20</v>
      </c>
      <c r="I17" s="99" t="s">
        <v>245</v>
      </c>
      <c r="J17" s="99" t="s">
        <v>147</v>
      </c>
      <c r="K17" s="99" t="b">
        <v>1</v>
      </c>
      <c r="L17" s="95">
        <v>2013</v>
      </c>
      <c r="M17" s="96">
        <v>0.0698</v>
      </c>
      <c r="N17" s="100">
        <v>41152</v>
      </c>
      <c r="O17" s="100">
        <v>41152</v>
      </c>
    </row>
    <row r="18" spans="1:15" ht="14.25">
      <c r="A18" s="97">
        <v>2012</v>
      </c>
      <c r="B18" s="98" t="s">
        <v>236</v>
      </c>
      <c r="C18" s="98" t="s">
        <v>237</v>
      </c>
      <c r="D18" s="99">
        <v>1425062</v>
      </c>
      <c r="E18" s="99">
        <v>2</v>
      </c>
      <c r="F18" s="99"/>
      <c r="G18" s="99">
        <v>54</v>
      </c>
      <c r="H18" s="99">
        <v>27</v>
      </c>
      <c r="I18" s="99" t="s">
        <v>241</v>
      </c>
      <c r="J18" s="99" t="s">
        <v>46</v>
      </c>
      <c r="K18" s="99" t="b">
        <v>0</v>
      </c>
      <c r="L18" s="95">
        <v>2015</v>
      </c>
      <c r="M18" s="96">
        <v>32104008</v>
      </c>
      <c r="N18" s="100">
        <v>41152</v>
      </c>
      <c r="O18" s="100">
        <v>41152</v>
      </c>
    </row>
    <row r="19" spans="1:15" ht="14.25">
      <c r="A19" s="97">
        <v>2012</v>
      </c>
      <c r="B19" s="98" t="s">
        <v>236</v>
      </c>
      <c r="C19" s="98" t="s">
        <v>237</v>
      </c>
      <c r="D19" s="99">
        <v>1425062</v>
      </c>
      <c r="E19" s="99">
        <v>2</v>
      </c>
      <c r="F19" s="99"/>
      <c r="G19" s="99">
        <v>57</v>
      </c>
      <c r="H19" s="99">
        <v>30</v>
      </c>
      <c r="I19" s="99" t="s">
        <v>240</v>
      </c>
      <c r="J19" s="99" t="s">
        <v>155</v>
      </c>
      <c r="K19" s="99" t="b">
        <v>0</v>
      </c>
      <c r="L19" s="95">
        <v>2014</v>
      </c>
      <c r="M19" s="96">
        <v>781000</v>
      </c>
      <c r="N19" s="100">
        <v>41152</v>
      </c>
      <c r="O19" s="100">
        <v>41152</v>
      </c>
    </row>
    <row r="20" spans="1:15" ht="14.25">
      <c r="A20" s="97">
        <v>2012</v>
      </c>
      <c r="B20" s="98" t="s">
        <v>236</v>
      </c>
      <c r="C20" s="98" t="s">
        <v>237</v>
      </c>
      <c r="D20" s="99">
        <v>1425062</v>
      </c>
      <c r="E20" s="99">
        <v>2</v>
      </c>
      <c r="F20" s="99"/>
      <c r="G20" s="99">
        <v>14</v>
      </c>
      <c r="H20" s="99">
        <v>3</v>
      </c>
      <c r="I20" s="99" t="s">
        <v>243</v>
      </c>
      <c r="J20" s="99" t="s">
        <v>118</v>
      </c>
      <c r="K20" s="99" t="b">
        <v>1</v>
      </c>
      <c r="L20" s="95">
        <v>2013</v>
      </c>
      <c r="M20" s="96">
        <v>4418600</v>
      </c>
      <c r="N20" s="100">
        <v>41152</v>
      </c>
      <c r="O20" s="100">
        <v>41152</v>
      </c>
    </row>
    <row r="21" spans="1:15" ht="14.25">
      <c r="A21" s="97">
        <v>2012</v>
      </c>
      <c r="B21" s="98" t="s">
        <v>236</v>
      </c>
      <c r="C21" s="98" t="s">
        <v>237</v>
      </c>
      <c r="D21" s="99">
        <v>1425062</v>
      </c>
      <c r="E21" s="99">
        <v>2</v>
      </c>
      <c r="F21" s="99"/>
      <c r="G21" s="99">
        <v>51</v>
      </c>
      <c r="H21" s="99">
        <v>24</v>
      </c>
      <c r="I21" s="99" t="s">
        <v>246</v>
      </c>
      <c r="J21" s="99" t="s">
        <v>152</v>
      </c>
      <c r="K21" s="99" t="b">
        <v>1</v>
      </c>
      <c r="L21" s="95">
        <v>2015</v>
      </c>
      <c r="M21" s="96">
        <v>29036008</v>
      </c>
      <c r="N21" s="100">
        <v>41152</v>
      </c>
      <c r="O21" s="100">
        <v>41152</v>
      </c>
    </row>
    <row r="22" spans="1:15" ht="14.25">
      <c r="A22" s="97">
        <v>2012</v>
      </c>
      <c r="B22" s="98" t="s">
        <v>236</v>
      </c>
      <c r="C22" s="98" t="s">
        <v>237</v>
      </c>
      <c r="D22" s="99">
        <v>1425062</v>
      </c>
      <c r="E22" s="99">
        <v>2</v>
      </c>
      <c r="F22" s="99"/>
      <c r="G22" s="99">
        <v>57</v>
      </c>
      <c r="H22" s="99">
        <v>30</v>
      </c>
      <c r="I22" s="99" t="s">
        <v>240</v>
      </c>
      <c r="J22" s="99" t="s">
        <v>155</v>
      </c>
      <c r="K22" s="99" t="b">
        <v>0</v>
      </c>
      <c r="L22" s="95">
        <v>2012</v>
      </c>
      <c r="M22" s="96">
        <v>3160952</v>
      </c>
      <c r="N22" s="100">
        <v>41152</v>
      </c>
      <c r="O22" s="100">
        <v>41152</v>
      </c>
    </row>
    <row r="23" spans="1:15" ht="14.25">
      <c r="A23" s="97">
        <v>2012</v>
      </c>
      <c r="B23" s="98" t="s">
        <v>236</v>
      </c>
      <c r="C23" s="98" t="s">
        <v>237</v>
      </c>
      <c r="D23" s="99">
        <v>1425062</v>
      </c>
      <c r="E23" s="99">
        <v>2</v>
      </c>
      <c r="F23" s="99"/>
      <c r="G23" s="99">
        <v>33</v>
      </c>
      <c r="H23" s="99">
        <v>13</v>
      </c>
      <c r="I23" s="99"/>
      <c r="J23" s="99" t="s">
        <v>68</v>
      </c>
      <c r="K23" s="99" t="b">
        <v>1</v>
      </c>
      <c r="L23" s="95">
        <v>2013</v>
      </c>
      <c r="M23" s="96">
        <v>12078400</v>
      </c>
      <c r="N23" s="100">
        <v>41152</v>
      </c>
      <c r="O23" s="100">
        <v>41152</v>
      </c>
    </row>
    <row r="24" spans="1:15" ht="14.25">
      <c r="A24" s="97">
        <v>2012</v>
      </c>
      <c r="B24" s="98" t="s">
        <v>236</v>
      </c>
      <c r="C24" s="98" t="s">
        <v>237</v>
      </c>
      <c r="D24" s="99">
        <v>1425062</v>
      </c>
      <c r="E24" s="99">
        <v>2</v>
      </c>
      <c r="F24" s="99"/>
      <c r="G24" s="99">
        <v>47</v>
      </c>
      <c r="H24" s="99" t="s">
        <v>149</v>
      </c>
      <c r="I24" s="99" t="s">
        <v>244</v>
      </c>
      <c r="J24" s="99" t="s">
        <v>78</v>
      </c>
      <c r="K24" s="99" t="b">
        <v>0</v>
      </c>
      <c r="L24" s="95">
        <v>2016</v>
      </c>
      <c r="M24" s="96">
        <v>44</v>
      </c>
      <c r="N24" s="100">
        <v>41152</v>
      </c>
      <c r="O24" s="100">
        <v>41152</v>
      </c>
    </row>
    <row r="25" spans="1:15" ht="14.25">
      <c r="A25" s="97">
        <v>2012</v>
      </c>
      <c r="B25" s="98" t="s">
        <v>236</v>
      </c>
      <c r="C25" s="98" t="s">
        <v>237</v>
      </c>
      <c r="D25" s="99">
        <v>1425062</v>
      </c>
      <c r="E25" s="99">
        <v>2</v>
      </c>
      <c r="F25" s="99"/>
      <c r="G25" s="99">
        <v>42</v>
      </c>
      <c r="H25" s="99">
        <v>19</v>
      </c>
      <c r="I25" s="99" t="s">
        <v>247</v>
      </c>
      <c r="J25" s="99" t="s">
        <v>74</v>
      </c>
      <c r="K25" s="99" t="b">
        <v>1</v>
      </c>
      <c r="L25" s="95">
        <v>2020</v>
      </c>
      <c r="M25" s="96">
        <v>0.0203</v>
      </c>
      <c r="N25" s="100">
        <v>41152</v>
      </c>
      <c r="O25" s="100">
        <v>41152</v>
      </c>
    </row>
    <row r="26" spans="1:15" ht="14.25">
      <c r="A26" s="97">
        <v>2012</v>
      </c>
      <c r="B26" s="98" t="s">
        <v>236</v>
      </c>
      <c r="C26" s="98" t="s">
        <v>237</v>
      </c>
      <c r="D26" s="99">
        <v>1425062</v>
      </c>
      <c r="E26" s="99">
        <v>2</v>
      </c>
      <c r="F26" s="99"/>
      <c r="G26" s="99">
        <v>49</v>
      </c>
      <c r="H26" s="99" t="s">
        <v>150</v>
      </c>
      <c r="I26" s="99" t="s">
        <v>248</v>
      </c>
      <c r="J26" s="99" t="s">
        <v>81</v>
      </c>
      <c r="K26" s="99" t="b">
        <v>0</v>
      </c>
      <c r="L26" s="95">
        <v>2017</v>
      </c>
      <c r="M26" s="96">
        <v>1</v>
      </c>
      <c r="N26" s="100">
        <v>41152</v>
      </c>
      <c r="O26" s="100">
        <v>41152</v>
      </c>
    </row>
    <row r="27" spans="1:15" ht="14.25">
      <c r="A27" s="97">
        <v>2012</v>
      </c>
      <c r="B27" s="98" t="s">
        <v>236</v>
      </c>
      <c r="C27" s="98" t="s">
        <v>237</v>
      </c>
      <c r="D27" s="99">
        <v>1425062</v>
      </c>
      <c r="E27" s="99">
        <v>2</v>
      </c>
      <c r="F27" s="99"/>
      <c r="G27" s="99">
        <v>46</v>
      </c>
      <c r="H27" s="99">
        <v>21</v>
      </c>
      <c r="I27" s="99" t="s">
        <v>249</v>
      </c>
      <c r="J27" s="99" t="s">
        <v>54</v>
      </c>
      <c r="K27" s="99" t="b">
        <v>1</v>
      </c>
      <c r="L27" s="95">
        <v>2018</v>
      </c>
      <c r="M27" s="96">
        <v>0.0649</v>
      </c>
      <c r="N27" s="100">
        <v>41152</v>
      </c>
      <c r="O27" s="100">
        <v>41152</v>
      </c>
    </row>
    <row r="28" spans="1:15" ht="14.25">
      <c r="A28" s="97">
        <v>2012</v>
      </c>
      <c r="B28" s="98" t="s">
        <v>236</v>
      </c>
      <c r="C28" s="98" t="s">
        <v>237</v>
      </c>
      <c r="D28" s="99">
        <v>1425062</v>
      </c>
      <c r="E28" s="99">
        <v>2</v>
      </c>
      <c r="F28" s="99"/>
      <c r="G28" s="99">
        <v>53</v>
      </c>
      <c r="H28" s="99">
        <v>26</v>
      </c>
      <c r="I28" s="99" t="s">
        <v>239</v>
      </c>
      <c r="J28" s="99" t="s">
        <v>153</v>
      </c>
      <c r="K28" s="99" t="b">
        <v>1</v>
      </c>
      <c r="L28" s="95">
        <v>2013</v>
      </c>
      <c r="M28" s="96">
        <v>31283833</v>
      </c>
      <c r="N28" s="100">
        <v>41152</v>
      </c>
      <c r="O28" s="100">
        <v>41152</v>
      </c>
    </row>
    <row r="29" spans="1:15" ht="14.25">
      <c r="A29" s="97">
        <v>2012</v>
      </c>
      <c r="B29" s="98" t="s">
        <v>236</v>
      </c>
      <c r="C29" s="98" t="s">
        <v>237</v>
      </c>
      <c r="D29" s="99">
        <v>1425062</v>
      </c>
      <c r="E29" s="99">
        <v>2</v>
      </c>
      <c r="F29" s="99"/>
      <c r="G29" s="99">
        <v>56</v>
      </c>
      <c r="H29" s="99">
        <v>29</v>
      </c>
      <c r="I29" s="99" t="s">
        <v>250</v>
      </c>
      <c r="J29" s="99" t="s">
        <v>154</v>
      </c>
      <c r="K29" s="99" t="b">
        <v>0</v>
      </c>
      <c r="L29" s="95">
        <v>2016</v>
      </c>
      <c r="M29" s="96">
        <v>1061703</v>
      </c>
      <c r="N29" s="100">
        <v>41152</v>
      </c>
      <c r="O29" s="100">
        <v>41152</v>
      </c>
    </row>
    <row r="30" spans="1:15" ht="14.25">
      <c r="A30" s="97">
        <v>2012</v>
      </c>
      <c r="B30" s="98" t="s">
        <v>236</v>
      </c>
      <c r="C30" s="98" t="s">
        <v>237</v>
      </c>
      <c r="D30" s="99">
        <v>1425062</v>
      </c>
      <c r="E30" s="99">
        <v>2</v>
      </c>
      <c r="F30" s="99"/>
      <c r="G30" s="99">
        <v>37</v>
      </c>
      <c r="H30" s="99">
        <v>16</v>
      </c>
      <c r="I30" s="99"/>
      <c r="J30" s="99" t="s">
        <v>142</v>
      </c>
      <c r="K30" s="99" t="b">
        <v>1</v>
      </c>
      <c r="L30" s="95">
        <v>2014</v>
      </c>
      <c r="M30" s="96">
        <v>374626</v>
      </c>
      <c r="N30" s="100">
        <v>41152</v>
      </c>
      <c r="O30" s="100">
        <v>41152</v>
      </c>
    </row>
    <row r="31" spans="1:15" ht="14.25">
      <c r="A31" s="97">
        <v>2012</v>
      </c>
      <c r="B31" s="98" t="s">
        <v>236</v>
      </c>
      <c r="C31" s="98" t="s">
        <v>237</v>
      </c>
      <c r="D31" s="99">
        <v>1425062</v>
      </c>
      <c r="E31" s="99">
        <v>2</v>
      </c>
      <c r="F31" s="99"/>
      <c r="G31" s="99">
        <v>29</v>
      </c>
      <c r="H31" s="99" t="s">
        <v>136</v>
      </c>
      <c r="I31" s="99"/>
      <c r="J31" s="99" t="s">
        <v>117</v>
      </c>
      <c r="K31" s="99" t="b">
        <v>0</v>
      </c>
      <c r="L31" s="95">
        <v>2012</v>
      </c>
      <c r="M31" s="96">
        <v>3590000</v>
      </c>
      <c r="N31" s="100">
        <v>41152</v>
      </c>
      <c r="O31" s="100">
        <v>41152</v>
      </c>
    </row>
    <row r="32" spans="1:15" ht="14.25">
      <c r="A32" s="97">
        <v>2012</v>
      </c>
      <c r="B32" s="98" t="s">
        <v>236</v>
      </c>
      <c r="C32" s="98" t="s">
        <v>237</v>
      </c>
      <c r="D32" s="99">
        <v>1425062</v>
      </c>
      <c r="E32" s="99">
        <v>2</v>
      </c>
      <c r="F32" s="99"/>
      <c r="G32" s="99">
        <v>19</v>
      </c>
      <c r="H32" s="99">
        <v>6</v>
      </c>
      <c r="I32" s="99" t="s">
        <v>251</v>
      </c>
      <c r="J32" s="99" t="s">
        <v>123</v>
      </c>
      <c r="K32" s="99" t="b">
        <v>0</v>
      </c>
      <c r="L32" s="95">
        <v>2012</v>
      </c>
      <c r="M32" s="96">
        <v>5661254.3</v>
      </c>
      <c r="N32" s="100">
        <v>41152</v>
      </c>
      <c r="O32" s="100">
        <v>41152</v>
      </c>
    </row>
    <row r="33" spans="1:15" ht="14.25">
      <c r="A33" s="97">
        <v>2012</v>
      </c>
      <c r="B33" s="98" t="s">
        <v>236</v>
      </c>
      <c r="C33" s="98" t="s">
        <v>237</v>
      </c>
      <c r="D33" s="99">
        <v>1425062</v>
      </c>
      <c r="E33" s="99">
        <v>2</v>
      </c>
      <c r="F33" s="99"/>
      <c r="G33" s="99">
        <v>19</v>
      </c>
      <c r="H33" s="99">
        <v>6</v>
      </c>
      <c r="I33" s="99" t="s">
        <v>251</v>
      </c>
      <c r="J33" s="99" t="s">
        <v>123</v>
      </c>
      <c r="K33" s="99" t="b">
        <v>0</v>
      </c>
      <c r="L33" s="95">
        <v>2022</v>
      </c>
      <c r="M33" s="96">
        <v>3921630</v>
      </c>
      <c r="N33" s="100">
        <v>41152</v>
      </c>
      <c r="O33" s="100">
        <v>41152</v>
      </c>
    </row>
    <row r="34" spans="1:15" ht="14.25">
      <c r="A34" s="97">
        <v>2012</v>
      </c>
      <c r="B34" s="98" t="s">
        <v>236</v>
      </c>
      <c r="C34" s="98" t="s">
        <v>237</v>
      </c>
      <c r="D34" s="99">
        <v>1425062</v>
      </c>
      <c r="E34" s="99">
        <v>2</v>
      </c>
      <c r="F34" s="99"/>
      <c r="G34" s="99">
        <v>4</v>
      </c>
      <c r="H34" s="99" t="s">
        <v>100</v>
      </c>
      <c r="I34" s="99"/>
      <c r="J34" s="99" t="s">
        <v>101</v>
      </c>
      <c r="K34" s="99" t="b">
        <v>1</v>
      </c>
      <c r="L34" s="95">
        <v>2012</v>
      </c>
      <c r="M34" s="96">
        <v>3371624</v>
      </c>
      <c r="N34" s="100">
        <v>41152</v>
      </c>
      <c r="O34" s="100">
        <v>41152</v>
      </c>
    </row>
    <row r="35" spans="1:15" ht="14.25">
      <c r="A35" s="97">
        <v>2012</v>
      </c>
      <c r="B35" s="98" t="s">
        <v>236</v>
      </c>
      <c r="C35" s="98" t="s">
        <v>237</v>
      </c>
      <c r="D35" s="99">
        <v>1425062</v>
      </c>
      <c r="E35" s="99">
        <v>2</v>
      </c>
      <c r="F35" s="99"/>
      <c r="G35" s="99">
        <v>21</v>
      </c>
      <c r="H35" s="99" t="s">
        <v>124</v>
      </c>
      <c r="I35" s="99"/>
      <c r="J35" s="99" t="s">
        <v>125</v>
      </c>
      <c r="K35" s="99" t="b">
        <v>1</v>
      </c>
      <c r="L35" s="95">
        <v>2017</v>
      </c>
      <c r="M35" s="96">
        <v>1694000</v>
      </c>
      <c r="N35" s="100">
        <v>41152</v>
      </c>
      <c r="O35" s="100">
        <v>41152</v>
      </c>
    </row>
    <row r="36" spans="1:15" ht="14.25">
      <c r="A36" s="97">
        <v>2012</v>
      </c>
      <c r="B36" s="98" t="s">
        <v>236</v>
      </c>
      <c r="C36" s="98" t="s">
        <v>237</v>
      </c>
      <c r="D36" s="99">
        <v>1425062</v>
      </c>
      <c r="E36" s="99">
        <v>2</v>
      </c>
      <c r="F36" s="99"/>
      <c r="G36" s="99">
        <v>45</v>
      </c>
      <c r="H36" s="99" t="s">
        <v>148</v>
      </c>
      <c r="I36" s="99" t="s">
        <v>238</v>
      </c>
      <c r="J36" s="99" t="s">
        <v>53</v>
      </c>
      <c r="K36" s="99" t="b">
        <v>0</v>
      </c>
      <c r="L36" s="95">
        <v>2013</v>
      </c>
      <c r="M36" s="96">
        <v>0.056</v>
      </c>
      <c r="N36" s="100">
        <v>41152</v>
      </c>
      <c r="O36" s="100">
        <v>41152</v>
      </c>
    </row>
    <row r="37" spans="1:15" ht="14.25">
      <c r="A37" s="97">
        <v>2012</v>
      </c>
      <c r="B37" s="98" t="s">
        <v>236</v>
      </c>
      <c r="C37" s="98" t="s">
        <v>237</v>
      </c>
      <c r="D37" s="99">
        <v>1425062</v>
      </c>
      <c r="E37" s="99">
        <v>2</v>
      </c>
      <c r="F37" s="99"/>
      <c r="G37" s="99">
        <v>42</v>
      </c>
      <c r="H37" s="99">
        <v>19</v>
      </c>
      <c r="I37" s="99" t="s">
        <v>247</v>
      </c>
      <c r="J37" s="99" t="s">
        <v>74</v>
      </c>
      <c r="K37" s="99" t="b">
        <v>1</v>
      </c>
      <c r="L37" s="95">
        <v>2016</v>
      </c>
      <c r="M37" s="96">
        <v>0.0592</v>
      </c>
      <c r="N37" s="100">
        <v>41152</v>
      </c>
      <c r="O37" s="100">
        <v>41152</v>
      </c>
    </row>
    <row r="38" spans="1:15" ht="14.25">
      <c r="A38" s="97">
        <v>2012</v>
      </c>
      <c r="B38" s="98" t="s">
        <v>236</v>
      </c>
      <c r="C38" s="98" t="s">
        <v>237</v>
      </c>
      <c r="D38" s="99">
        <v>1425062</v>
      </c>
      <c r="E38" s="99">
        <v>2</v>
      </c>
      <c r="F38" s="99"/>
      <c r="G38" s="99">
        <v>56</v>
      </c>
      <c r="H38" s="99">
        <v>29</v>
      </c>
      <c r="I38" s="99" t="s">
        <v>250</v>
      </c>
      <c r="J38" s="99" t="s">
        <v>154</v>
      </c>
      <c r="K38" s="99" t="b">
        <v>0</v>
      </c>
      <c r="L38" s="95">
        <v>2012</v>
      </c>
      <c r="M38" s="96">
        <v>3659400</v>
      </c>
      <c r="N38" s="100">
        <v>41152</v>
      </c>
      <c r="O38" s="100">
        <v>41152</v>
      </c>
    </row>
    <row r="39" spans="1:15" ht="14.25">
      <c r="A39" s="97">
        <v>2012</v>
      </c>
      <c r="B39" s="98" t="s">
        <v>236</v>
      </c>
      <c r="C39" s="98" t="s">
        <v>237</v>
      </c>
      <c r="D39" s="99">
        <v>1425062</v>
      </c>
      <c r="E39" s="99">
        <v>2</v>
      </c>
      <c r="F39" s="99"/>
      <c r="G39" s="99">
        <v>19</v>
      </c>
      <c r="H39" s="99">
        <v>6</v>
      </c>
      <c r="I39" s="99" t="s">
        <v>251</v>
      </c>
      <c r="J39" s="99" t="s">
        <v>123</v>
      </c>
      <c r="K39" s="99" t="b">
        <v>0</v>
      </c>
      <c r="L39" s="95">
        <v>2021</v>
      </c>
      <c r="M39" s="96">
        <v>3592847</v>
      </c>
      <c r="N39" s="100">
        <v>41152</v>
      </c>
      <c r="O39" s="100">
        <v>41152</v>
      </c>
    </row>
    <row r="40" spans="1:15" ht="14.25">
      <c r="A40" s="97">
        <v>2012</v>
      </c>
      <c r="B40" s="98" t="s">
        <v>236</v>
      </c>
      <c r="C40" s="98" t="s">
        <v>237</v>
      </c>
      <c r="D40" s="99">
        <v>1425062</v>
      </c>
      <c r="E40" s="99">
        <v>2</v>
      </c>
      <c r="F40" s="99"/>
      <c r="G40" s="99">
        <v>19</v>
      </c>
      <c r="H40" s="99">
        <v>6</v>
      </c>
      <c r="I40" s="99" t="s">
        <v>251</v>
      </c>
      <c r="J40" s="99" t="s">
        <v>123</v>
      </c>
      <c r="K40" s="99" t="b">
        <v>0</v>
      </c>
      <c r="L40" s="95">
        <v>2015</v>
      </c>
      <c r="M40" s="96">
        <v>4019266</v>
      </c>
      <c r="N40" s="100">
        <v>41152</v>
      </c>
      <c r="O40" s="100">
        <v>41152</v>
      </c>
    </row>
    <row r="41" spans="1:15" ht="14.25">
      <c r="A41" s="97">
        <v>2012</v>
      </c>
      <c r="B41" s="98" t="s">
        <v>236</v>
      </c>
      <c r="C41" s="98" t="s">
        <v>237</v>
      </c>
      <c r="D41" s="99">
        <v>1425062</v>
      </c>
      <c r="E41" s="99">
        <v>2</v>
      </c>
      <c r="F41" s="99"/>
      <c r="G41" s="99">
        <v>2</v>
      </c>
      <c r="H41" s="99" t="s">
        <v>96</v>
      </c>
      <c r="I41" s="99"/>
      <c r="J41" s="99" t="s">
        <v>97</v>
      </c>
      <c r="K41" s="99" t="b">
        <v>1</v>
      </c>
      <c r="L41" s="95">
        <v>2020</v>
      </c>
      <c r="M41" s="96">
        <v>35241407</v>
      </c>
      <c r="N41" s="100">
        <v>41152</v>
      </c>
      <c r="O41" s="100">
        <v>41152</v>
      </c>
    </row>
    <row r="42" spans="1:15" ht="14.25">
      <c r="A42" s="97">
        <v>2012</v>
      </c>
      <c r="B42" s="98" t="s">
        <v>236</v>
      </c>
      <c r="C42" s="98" t="s">
        <v>237</v>
      </c>
      <c r="D42" s="99">
        <v>1425062</v>
      </c>
      <c r="E42" s="99">
        <v>2</v>
      </c>
      <c r="F42" s="99"/>
      <c r="G42" s="99">
        <v>1</v>
      </c>
      <c r="H42" s="99">
        <v>1</v>
      </c>
      <c r="I42" s="99" t="s">
        <v>252</v>
      </c>
      <c r="J42" s="99" t="s">
        <v>95</v>
      </c>
      <c r="K42" s="99" t="b">
        <v>1</v>
      </c>
      <c r="L42" s="95">
        <v>2013</v>
      </c>
      <c r="M42" s="96">
        <v>31283833</v>
      </c>
      <c r="N42" s="100">
        <v>41152</v>
      </c>
      <c r="O42" s="100">
        <v>41152</v>
      </c>
    </row>
    <row r="43" spans="1:15" ht="14.25">
      <c r="A43" s="97">
        <v>2012</v>
      </c>
      <c r="B43" s="98" t="s">
        <v>236</v>
      </c>
      <c r="C43" s="98" t="s">
        <v>237</v>
      </c>
      <c r="D43" s="99">
        <v>1425062</v>
      </c>
      <c r="E43" s="99">
        <v>2</v>
      </c>
      <c r="F43" s="99"/>
      <c r="G43" s="99">
        <v>9</v>
      </c>
      <c r="H43" s="99" t="s">
        <v>108</v>
      </c>
      <c r="I43" s="99"/>
      <c r="J43" s="99" t="s">
        <v>109</v>
      </c>
      <c r="K43" s="99" t="b">
        <v>0</v>
      </c>
      <c r="L43" s="95">
        <v>2018</v>
      </c>
      <c r="M43" s="96">
        <v>3434392</v>
      </c>
      <c r="N43" s="100">
        <v>41152</v>
      </c>
      <c r="O43" s="100">
        <v>41152</v>
      </c>
    </row>
    <row r="44" spans="1:15" ht="14.25">
      <c r="A44" s="97">
        <v>2012</v>
      </c>
      <c r="B44" s="98" t="s">
        <v>236</v>
      </c>
      <c r="C44" s="98" t="s">
        <v>237</v>
      </c>
      <c r="D44" s="99">
        <v>1425062</v>
      </c>
      <c r="E44" s="99">
        <v>2</v>
      </c>
      <c r="F44" s="99"/>
      <c r="G44" s="99">
        <v>33</v>
      </c>
      <c r="H44" s="99">
        <v>13</v>
      </c>
      <c r="I44" s="99"/>
      <c r="J44" s="99" t="s">
        <v>68</v>
      </c>
      <c r="K44" s="99" t="b">
        <v>1</v>
      </c>
      <c r="L44" s="95">
        <v>2012</v>
      </c>
      <c r="M44" s="96">
        <v>12709000</v>
      </c>
      <c r="N44" s="100">
        <v>41152</v>
      </c>
      <c r="O44" s="100">
        <v>41152</v>
      </c>
    </row>
    <row r="45" spans="1:15" ht="14.25">
      <c r="A45" s="97">
        <v>2012</v>
      </c>
      <c r="B45" s="98" t="s">
        <v>236</v>
      </c>
      <c r="C45" s="98" t="s">
        <v>237</v>
      </c>
      <c r="D45" s="99">
        <v>1425062</v>
      </c>
      <c r="E45" s="99">
        <v>2</v>
      </c>
      <c r="F45" s="99"/>
      <c r="G45" s="99">
        <v>43</v>
      </c>
      <c r="H45" s="99" t="s">
        <v>146</v>
      </c>
      <c r="I45" s="99" t="s">
        <v>253</v>
      </c>
      <c r="J45" s="99" t="s">
        <v>76</v>
      </c>
      <c r="K45" s="99" t="b">
        <v>0</v>
      </c>
      <c r="L45" s="95">
        <v>2015</v>
      </c>
      <c r="M45" s="96">
        <v>0.0593</v>
      </c>
      <c r="N45" s="100">
        <v>41152</v>
      </c>
      <c r="O45" s="100">
        <v>41152</v>
      </c>
    </row>
    <row r="46" spans="1:15" ht="14.25">
      <c r="A46" s="97">
        <v>2012</v>
      </c>
      <c r="B46" s="98" t="s">
        <v>236</v>
      </c>
      <c r="C46" s="98" t="s">
        <v>237</v>
      </c>
      <c r="D46" s="99">
        <v>1425062</v>
      </c>
      <c r="E46" s="99">
        <v>2</v>
      </c>
      <c r="F46" s="99"/>
      <c r="G46" s="99">
        <v>53</v>
      </c>
      <c r="H46" s="99">
        <v>26</v>
      </c>
      <c r="I46" s="99" t="s">
        <v>239</v>
      </c>
      <c r="J46" s="99" t="s">
        <v>153</v>
      </c>
      <c r="K46" s="99" t="b">
        <v>1</v>
      </c>
      <c r="L46" s="95">
        <v>2014</v>
      </c>
      <c r="M46" s="96">
        <v>31794363</v>
      </c>
      <c r="N46" s="100">
        <v>41152</v>
      </c>
      <c r="O46" s="100">
        <v>41152</v>
      </c>
    </row>
    <row r="47" spans="1:15" ht="14.25">
      <c r="A47" s="97">
        <v>2012</v>
      </c>
      <c r="B47" s="98" t="s">
        <v>236</v>
      </c>
      <c r="C47" s="98" t="s">
        <v>237</v>
      </c>
      <c r="D47" s="99">
        <v>1425062</v>
      </c>
      <c r="E47" s="99">
        <v>2</v>
      </c>
      <c r="F47" s="99"/>
      <c r="G47" s="99">
        <v>8</v>
      </c>
      <c r="H47" s="99" t="s">
        <v>106</v>
      </c>
      <c r="I47" s="99"/>
      <c r="J47" s="99" t="s">
        <v>107</v>
      </c>
      <c r="K47" s="99" t="b">
        <v>0</v>
      </c>
      <c r="L47" s="95">
        <v>2016</v>
      </c>
      <c r="M47" s="96">
        <v>16392342</v>
      </c>
      <c r="N47" s="100">
        <v>41152</v>
      </c>
      <c r="O47" s="100">
        <v>41152</v>
      </c>
    </row>
    <row r="48" spans="1:15" ht="14.25">
      <c r="A48" s="97">
        <v>2012</v>
      </c>
      <c r="B48" s="98" t="s">
        <v>236</v>
      </c>
      <c r="C48" s="98" t="s">
        <v>237</v>
      </c>
      <c r="D48" s="99">
        <v>1425062</v>
      </c>
      <c r="E48" s="99">
        <v>2</v>
      </c>
      <c r="F48" s="99"/>
      <c r="G48" s="99">
        <v>53</v>
      </c>
      <c r="H48" s="99">
        <v>26</v>
      </c>
      <c r="I48" s="99" t="s">
        <v>239</v>
      </c>
      <c r="J48" s="99" t="s">
        <v>153</v>
      </c>
      <c r="K48" s="99" t="b">
        <v>1</v>
      </c>
      <c r="L48" s="95">
        <v>2012</v>
      </c>
      <c r="M48" s="96">
        <v>31991829.19</v>
      </c>
      <c r="N48" s="100">
        <v>41152</v>
      </c>
      <c r="O48" s="100">
        <v>41152</v>
      </c>
    </row>
    <row r="49" spans="1:15" ht="14.25">
      <c r="A49" s="97">
        <v>2012</v>
      </c>
      <c r="B49" s="98" t="s">
        <v>236</v>
      </c>
      <c r="C49" s="98" t="s">
        <v>237</v>
      </c>
      <c r="D49" s="99">
        <v>1425062</v>
      </c>
      <c r="E49" s="99">
        <v>2</v>
      </c>
      <c r="F49" s="99"/>
      <c r="G49" s="99">
        <v>24</v>
      </c>
      <c r="H49" s="99" t="s">
        <v>130</v>
      </c>
      <c r="I49" s="99"/>
      <c r="J49" s="99" t="s">
        <v>131</v>
      </c>
      <c r="K49" s="99" t="b">
        <v>1</v>
      </c>
      <c r="L49" s="95">
        <v>2018</v>
      </c>
      <c r="M49" s="96">
        <v>250000</v>
      </c>
      <c r="N49" s="100">
        <v>41152</v>
      </c>
      <c r="O49" s="100">
        <v>41152</v>
      </c>
    </row>
    <row r="50" spans="1:15" ht="14.25">
      <c r="A50" s="97">
        <v>2012</v>
      </c>
      <c r="B50" s="98" t="s">
        <v>236</v>
      </c>
      <c r="C50" s="98" t="s">
        <v>237</v>
      </c>
      <c r="D50" s="99">
        <v>1425062</v>
      </c>
      <c r="E50" s="99">
        <v>2</v>
      </c>
      <c r="F50" s="99"/>
      <c r="G50" s="99">
        <v>44</v>
      </c>
      <c r="H50" s="99">
        <v>20</v>
      </c>
      <c r="I50" s="99" t="s">
        <v>245</v>
      </c>
      <c r="J50" s="99" t="s">
        <v>147</v>
      </c>
      <c r="K50" s="99" t="b">
        <v>1</v>
      </c>
      <c r="L50" s="95">
        <v>2019</v>
      </c>
      <c r="M50" s="96">
        <v>0.0941</v>
      </c>
      <c r="N50" s="100">
        <v>41152</v>
      </c>
      <c r="O50" s="100">
        <v>41152</v>
      </c>
    </row>
    <row r="51" spans="1:15" ht="14.25">
      <c r="A51" s="97">
        <v>2012</v>
      </c>
      <c r="B51" s="98" t="s">
        <v>236</v>
      </c>
      <c r="C51" s="98" t="s">
        <v>237</v>
      </c>
      <c r="D51" s="99">
        <v>1425062</v>
      </c>
      <c r="E51" s="99">
        <v>2</v>
      </c>
      <c r="F51" s="99"/>
      <c r="G51" s="99">
        <v>52</v>
      </c>
      <c r="H51" s="99">
        <v>25</v>
      </c>
      <c r="I51" s="99" t="s">
        <v>254</v>
      </c>
      <c r="J51" s="99" t="s">
        <v>49</v>
      </c>
      <c r="K51" s="99" t="b">
        <v>1</v>
      </c>
      <c r="L51" s="95">
        <v>2015</v>
      </c>
      <c r="M51" s="96">
        <v>1964266</v>
      </c>
      <c r="N51" s="100">
        <v>41152</v>
      </c>
      <c r="O51" s="100">
        <v>41152</v>
      </c>
    </row>
    <row r="52" spans="1:15" ht="14.25">
      <c r="A52" s="97">
        <v>2012</v>
      </c>
      <c r="B52" s="98" t="s">
        <v>236</v>
      </c>
      <c r="C52" s="98" t="s">
        <v>237</v>
      </c>
      <c r="D52" s="99">
        <v>1425062</v>
      </c>
      <c r="E52" s="99">
        <v>2</v>
      </c>
      <c r="F52" s="99"/>
      <c r="G52" s="99">
        <v>50</v>
      </c>
      <c r="H52" s="99">
        <v>23</v>
      </c>
      <c r="I52" s="99" t="s">
        <v>255</v>
      </c>
      <c r="J52" s="99" t="s">
        <v>151</v>
      </c>
      <c r="K52" s="99" t="b">
        <v>1</v>
      </c>
      <c r="L52" s="95">
        <v>2012</v>
      </c>
      <c r="M52" s="96">
        <v>28620205.19</v>
      </c>
      <c r="N52" s="100">
        <v>41152</v>
      </c>
      <c r="O52" s="100">
        <v>41152</v>
      </c>
    </row>
    <row r="53" spans="1:15" ht="14.25">
      <c r="A53" s="97">
        <v>2012</v>
      </c>
      <c r="B53" s="98" t="s">
        <v>236</v>
      </c>
      <c r="C53" s="98" t="s">
        <v>237</v>
      </c>
      <c r="D53" s="99">
        <v>1425062</v>
      </c>
      <c r="E53" s="99">
        <v>2</v>
      </c>
      <c r="F53" s="99"/>
      <c r="G53" s="99">
        <v>37</v>
      </c>
      <c r="H53" s="99">
        <v>16</v>
      </c>
      <c r="I53" s="99"/>
      <c r="J53" s="99" t="s">
        <v>142</v>
      </c>
      <c r="K53" s="99" t="b">
        <v>1</v>
      </c>
      <c r="L53" s="95">
        <v>2022</v>
      </c>
      <c r="M53" s="96">
        <v>1693635</v>
      </c>
      <c r="N53" s="100">
        <v>41152</v>
      </c>
      <c r="O53" s="100">
        <v>41152</v>
      </c>
    </row>
    <row r="54" spans="1:15" ht="14.25">
      <c r="A54" s="97">
        <v>2012</v>
      </c>
      <c r="B54" s="98" t="s">
        <v>236</v>
      </c>
      <c r="C54" s="98" t="s">
        <v>237</v>
      </c>
      <c r="D54" s="99">
        <v>1425062</v>
      </c>
      <c r="E54" s="99">
        <v>2</v>
      </c>
      <c r="F54" s="99"/>
      <c r="G54" s="99">
        <v>42</v>
      </c>
      <c r="H54" s="99">
        <v>19</v>
      </c>
      <c r="I54" s="99" t="s">
        <v>247</v>
      </c>
      <c r="J54" s="99" t="s">
        <v>74</v>
      </c>
      <c r="K54" s="99" t="b">
        <v>1</v>
      </c>
      <c r="L54" s="95">
        <v>2014</v>
      </c>
      <c r="M54" s="96">
        <v>0.0434</v>
      </c>
      <c r="N54" s="100">
        <v>41152</v>
      </c>
      <c r="O54" s="100">
        <v>41152</v>
      </c>
    </row>
    <row r="55" spans="1:15" ht="14.25">
      <c r="A55" s="97">
        <v>2012</v>
      </c>
      <c r="B55" s="98" t="s">
        <v>236</v>
      </c>
      <c r="C55" s="98" t="s">
        <v>237</v>
      </c>
      <c r="D55" s="99">
        <v>1425062</v>
      </c>
      <c r="E55" s="99">
        <v>2</v>
      </c>
      <c r="F55" s="99"/>
      <c r="G55" s="99">
        <v>14</v>
      </c>
      <c r="H55" s="99">
        <v>3</v>
      </c>
      <c r="I55" s="99" t="s">
        <v>243</v>
      </c>
      <c r="J55" s="99" t="s">
        <v>118</v>
      </c>
      <c r="K55" s="99" t="b">
        <v>1</v>
      </c>
      <c r="L55" s="95">
        <v>2012</v>
      </c>
      <c r="M55" s="96">
        <v>5661254.3</v>
      </c>
      <c r="N55" s="100">
        <v>41152</v>
      </c>
      <c r="O55" s="100">
        <v>41152</v>
      </c>
    </row>
    <row r="56" spans="1:15" ht="14.25">
      <c r="A56" s="97">
        <v>2012</v>
      </c>
      <c r="B56" s="98" t="s">
        <v>236</v>
      </c>
      <c r="C56" s="98" t="s">
        <v>237</v>
      </c>
      <c r="D56" s="99">
        <v>1425062</v>
      </c>
      <c r="E56" s="99">
        <v>2</v>
      </c>
      <c r="F56" s="99"/>
      <c r="G56" s="99">
        <v>46</v>
      </c>
      <c r="H56" s="99">
        <v>21</v>
      </c>
      <c r="I56" s="99" t="s">
        <v>249</v>
      </c>
      <c r="J56" s="99" t="s">
        <v>54</v>
      </c>
      <c r="K56" s="99" t="b">
        <v>1</v>
      </c>
      <c r="L56" s="95">
        <v>2021</v>
      </c>
      <c r="M56" s="96">
        <v>0.0728</v>
      </c>
      <c r="N56" s="100">
        <v>41152</v>
      </c>
      <c r="O56" s="100">
        <v>41152</v>
      </c>
    </row>
    <row r="57" spans="1:15" ht="14.25">
      <c r="A57" s="97">
        <v>2012</v>
      </c>
      <c r="B57" s="98" t="s">
        <v>236</v>
      </c>
      <c r="C57" s="98" t="s">
        <v>237</v>
      </c>
      <c r="D57" s="99">
        <v>1425062</v>
      </c>
      <c r="E57" s="99">
        <v>2</v>
      </c>
      <c r="F57" s="99"/>
      <c r="G57" s="99">
        <v>52</v>
      </c>
      <c r="H57" s="99">
        <v>25</v>
      </c>
      <c r="I57" s="99" t="s">
        <v>254</v>
      </c>
      <c r="J57" s="99" t="s">
        <v>49</v>
      </c>
      <c r="K57" s="99" t="b">
        <v>1</v>
      </c>
      <c r="L57" s="95">
        <v>2017</v>
      </c>
      <c r="M57" s="96">
        <v>2625238</v>
      </c>
      <c r="N57" s="100">
        <v>41152</v>
      </c>
      <c r="O57" s="100">
        <v>41152</v>
      </c>
    </row>
    <row r="58" spans="1:15" ht="14.25">
      <c r="A58" s="97">
        <v>2012</v>
      </c>
      <c r="B58" s="98" t="s">
        <v>236</v>
      </c>
      <c r="C58" s="98" t="s">
        <v>237</v>
      </c>
      <c r="D58" s="99">
        <v>1425062</v>
      </c>
      <c r="E58" s="99">
        <v>2</v>
      </c>
      <c r="F58" s="99"/>
      <c r="G58" s="99">
        <v>9</v>
      </c>
      <c r="H58" s="99" t="s">
        <v>108</v>
      </c>
      <c r="I58" s="99"/>
      <c r="J58" s="99" t="s">
        <v>109</v>
      </c>
      <c r="K58" s="99" t="b">
        <v>0</v>
      </c>
      <c r="L58" s="95">
        <v>2020</v>
      </c>
      <c r="M58" s="96">
        <v>3608258</v>
      </c>
      <c r="N58" s="100">
        <v>41152</v>
      </c>
      <c r="O58" s="100">
        <v>41152</v>
      </c>
    </row>
    <row r="59" spans="1:15" ht="14.25">
      <c r="A59" s="97">
        <v>2012</v>
      </c>
      <c r="B59" s="98" t="s">
        <v>236</v>
      </c>
      <c r="C59" s="98" t="s">
        <v>237</v>
      </c>
      <c r="D59" s="99">
        <v>1425062</v>
      </c>
      <c r="E59" s="99">
        <v>2</v>
      </c>
      <c r="F59" s="99"/>
      <c r="G59" s="99">
        <v>27</v>
      </c>
      <c r="H59" s="99">
        <v>10</v>
      </c>
      <c r="I59" s="99"/>
      <c r="J59" s="99" t="s">
        <v>18</v>
      </c>
      <c r="K59" s="99" t="b">
        <v>0</v>
      </c>
      <c r="L59" s="95">
        <v>2018</v>
      </c>
      <c r="M59" s="96">
        <v>706476</v>
      </c>
      <c r="N59" s="100">
        <v>41152</v>
      </c>
      <c r="O59" s="100">
        <v>41152</v>
      </c>
    </row>
    <row r="60" spans="1:15" ht="14.25">
      <c r="A60" s="97">
        <v>2012</v>
      </c>
      <c r="B60" s="98" t="s">
        <v>236</v>
      </c>
      <c r="C60" s="98" t="s">
        <v>237</v>
      </c>
      <c r="D60" s="99">
        <v>1425062</v>
      </c>
      <c r="E60" s="99">
        <v>2</v>
      </c>
      <c r="F60" s="99"/>
      <c r="G60" s="99">
        <v>12</v>
      </c>
      <c r="H60" s="99" t="s">
        <v>114</v>
      </c>
      <c r="I60" s="99"/>
      <c r="J60" s="99" t="s">
        <v>115</v>
      </c>
      <c r="K60" s="99" t="b">
        <v>0</v>
      </c>
      <c r="L60" s="95">
        <v>2012</v>
      </c>
      <c r="M60" s="96">
        <v>1267420</v>
      </c>
      <c r="N60" s="100">
        <v>41152</v>
      </c>
      <c r="O60" s="100">
        <v>41152</v>
      </c>
    </row>
    <row r="61" spans="1:15" ht="14.25">
      <c r="A61" s="97">
        <v>2012</v>
      </c>
      <c r="B61" s="98" t="s">
        <v>236</v>
      </c>
      <c r="C61" s="98" t="s">
        <v>237</v>
      </c>
      <c r="D61" s="99">
        <v>1425062</v>
      </c>
      <c r="E61" s="99">
        <v>2</v>
      </c>
      <c r="F61" s="99"/>
      <c r="G61" s="99">
        <v>53</v>
      </c>
      <c r="H61" s="99">
        <v>26</v>
      </c>
      <c r="I61" s="99" t="s">
        <v>239</v>
      </c>
      <c r="J61" s="99" t="s">
        <v>153</v>
      </c>
      <c r="K61" s="99" t="b">
        <v>1</v>
      </c>
      <c r="L61" s="95">
        <v>2015</v>
      </c>
      <c r="M61" s="96">
        <v>32515274</v>
      </c>
      <c r="N61" s="100">
        <v>41152</v>
      </c>
      <c r="O61" s="100">
        <v>41152</v>
      </c>
    </row>
    <row r="62" spans="1:15" ht="14.25">
      <c r="A62" s="97">
        <v>2012</v>
      </c>
      <c r="B62" s="98" t="s">
        <v>236</v>
      </c>
      <c r="C62" s="98" t="s">
        <v>237</v>
      </c>
      <c r="D62" s="99">
        <v>1425062</v>
      </c>
      <c r="E62" s="99">
        <v>2</v>
      </c>
      <c r="F62" s="99"/>
      <c r="G62" s="99">
        <v>23</v>
      </c>
      <c r="H62" s="99" t="s">
        <v>128</v>
      </c>
      <c r="I62" s="99"/>
      <c r="J62" s="99" t="s">
        <v>129</v>
      </c>
      <c r="K62" s="99" t="b">
        <v>1</v>
      </c>
      <c r="L62" s="95">
        <v>2020</v>
      </c>
      <c r="M62" s="96">
        <v>216400</v>
      </c>
      <c r="N62" s="100">
        <v>41152</v>
      </c>
      <c r="O62" s="100">
        <v>41152</v>
      </c>
    </row>
    <row r="63" spans="1:15" ht="14.25">
      <c r="A63" s="97">
        <v>2012</v>
      </c>
      <c r="B63" s="98" t="s">
        <v>236</v>
      </c>
      <c r="C63" s="98" t="s">
        <v>237</v>
      </c>
      <c r="D63" s="99">
        <v>1425062</v>
      </c>
      <c r="E63" s="99">
        <v>2</v>
      </c>
      <c r="F63" s="99"/>
      <c r="G63" s="99">
        <v>51</v>
      </c>
      <c r="H63" s="99">
        <v>24</v>
      </c>
      <c r="I63" s="99" t="s">
        <v>246</v>
      </c>
      <c r="J63" s="99" t="s">
        <v>152</v>
      </c>
      <c r="K63" s="99" t="b">
        <v>1</v>
      </c>
      <c r="L63" s="95">
        <v>2021</v>
      </c>
      <c r="M63" s="96">
        <v>33556802</v>
      </c>
      <c r="N63" s="100">
        <v>41152</v>
      </c>
      <c r="O63" s="100">
        <v>41152</v>
      </c>
    </row>
    <row r="64" spans="1:15" ht="14.25">
      <c r="A64" s="97">
        <v>2012</v>
      </c>
      <c r="B64" s="98" t="s">
        <v>236</v>
      </c>
      <c r="C64" s="98" t="s">
        <v>237</v>
      </c>
      <c r="D64" s="99">
        <v>1425062</v>
      </c>
      <c r="E64" s="99">
        <v>2</v>
      </c>
      <c r="F64" s="99"/>
      <c r="G64" s="99">
        <v>29</v>
      </c>
      <c r="H64" s="99" t="s">
        <v>136</v>
      </c>
      <c r="I64" s="99"/>
      <c r="J64" s="99" t="s">
        <v>117</v>
      </c>
      <c r="K64" s="99" t="b">
        <v>0</v>
      </c>
      <c r="L64" s="95">
        <v>2013</v>
      </c>
      <c r="M64" s="96">
        <v>2900000</v>
      </c>
      <c r="N64" s="100">
        <v>41152</v>
      </c>
      <c r="O64" s="100">
        <v>41152</v>
      </c>
    </row>
    <row r="65" spans="1:15" ht="14.25">
      <c r="A65" s="97">
        <v>2012</v>
      </c>
      <c r="B65" s="98" t="s">
        <v>236</v>
      </c>
      <c r="C65" s="98" t="s">
        <v>237</v>
      </c>
      <c r="D65" s="99">
        <v>1425062</v>
      </c>
      <c r="E65" s="99">
        <v>2</v>
      </c>
      <c r="F65" s="99"/>
      <c r="G65" s="99">
        <v>21</v>
      </c>
      <c r="H65" s="99" t="s">
        <v>124</v>
      </c>
      <c r="I65" s="99"/>
      <c r="J65" s="99" t="s">
        <v>125</v>
      </c>
      <c r="K65" s="99" t="b">
        <v>1</v>
      </c>
      <c r="L65" s="95">
        <v>2016</v>
      </c>
      <c r="M65" s="96">
        <v>1500000</v>
      </c>
      <c r="N65" s="100">
        <v>41152</v>
      </c>
      <c r="O65" s="100">
        <v>41152</v>
      </c>
    </row>
    <row r="66" spans="1:15" ht="14.25">
      <c r="A66" s="97">
        <v>2012</v>
      </c>
      <c r="B66" s="98" t="s">
        <v>236</v>
      </c>
      <c r="C66" s="98" t="s">
        <v>237</v>
      </c>
      <c r="D66" s="99">
        <v>1425062</v>
      </c>
      <c r="E66" s="99">
        <v>2</v>
      </c>
      <c r="F66" s="99"/>
      <c r="G66" s="99">
        <v>46</v>
      </c>
      <c r="H66" s="99">
        <v>21</v>
      </c>
      <c r="I66" s="99" t="s">
        <v>249</v>
      </c>
      <c r="J66" s="99" t="s">
        <v>54</v>
      </c>
      <c r="K66" s="99" t="b">
        <v>1</v>
      </c>
      <c r="L66" s="95">
        <v>2014</v>
      </c>
      <c r="M66" s="96">
        <v>0.0434</v>
      </c>
      <c r="N66" s="100">
        <v>41152</v>
      </c>
      <c r="O66" s="100">
        <v>41152</v>
      </c>
    </row>
    <row r="67" spans="1:15" ht="14.25">
      <c r="A67" s="97">
        <v>2012</v>
      </c>
      <c r="B67" s="98" t="s">
        <v>236</v>
      </c>
      <c r="C67" s="98" t="s">
        <v>237</v>
      </c>
      <c r="D67" s="99">
        <v>1425062</v>
      </c>
      <c r="E67" s="99">
        <v>2</v>
      </c>
      <c r="F67" s="99"/>
      <c r="G67" s="99">
        <v>42</v>
      </c>
      <c r="H67" s="99">
        <v>19</v>
      </c>
      <c r="I67" s="99" t="s">
        <v>247</v>
      </c>
      <c r="J67" s="99" t="s">
        <v>74</v>
      </c>
      <c r="K67" s="99" t="b">
        <v>1</v>
      </c>
      <c r="L67" s="95">
        <v>2013</v>
      </c>
      <c r="M67" s="96">
        <v>0.14</v>
      </c>
      <c r="N67" s="100">
        <v>41152</v>
      </c>
      <c r="O67" s="100">
        <v>41152</v>
      </c>
    </row>
    <row r="68" spans="1:15" ht="14.25">
      <c r="A68" s="97">
        <v>2012</v>
      </c>
      <c r="B68" s="98" t="s">
        <v>236</v>
      </c>
      <c r="C68" s="98" t="s">
        <v>237</v>
      </c>
      <c r="D68" s="99">
        <v>1425062</v>
      </c>
      <c r="E68" s="99">
        <v>2</v>
      </c>
      <c r="F68" s="99"/>
      <c r="G68" s="99">
        <v>53</v>
      </c>
      <c r="H68" s="99">
        <v>26</v>
      </c>
      <c r="I68" s="99" t="s">
        <v>239</v>
      </c>
      <c r="J68" s="99" t="s">
        <v>153</v>
      </c>
      <c r="K68" s="99" t="b">
        <v>1</v>
      </c>
      <c r="L68" s="95">
        <v>2017</v>
      </c>
      <c r="M68" s="96">
        <v>32991479</v>
      </c>
      <c r="N68" s="100">
        <v>41152</v>
      </c>
      <c r="O68" s="100">
        <v>41152</v>
      </c>
    </row>
    <row r="69" spans="1:15" ht="14.25">
      <c r="A69" s="97">
        <v>2012</v>
      </c>
      <c r="B69" s="98" t="s">
        <v>236</v>
      </c>
      <c r="C69" s="98" t="s">
        <v>237</v>
      </c>
      <c r="D69" s="99">
        <v>1425062</v>
      </c>
      <c r="E69" s="99">
        <v>2</v>
      </c>
      <c r="F69" s="99"/>
      <c r="G69" s="99">
        <v>8</v>
      </c>
      <c r="H69" s="99" t="s">
        <v>106</v>
      </c>
      <c r="I69" s="99"/>
      <c r="J69" s="99" t="s">
        <v>107</v>
      </c>
      <c r="K69" s="99" t="b">
        <v>0</v>
      </c>
      <c r="L69" s="95">
        <v>2015</v>
      </c>
      <c r="M69" s="96">
        <v>15961385</v>
      </c>
      <c r="N69" s="100">
        <v>41152</v>
      </c>
      <c r="O69" s="100">
        <v>41152</v>
      </c>
    </row>
    <row r="70" spans="1:15" ht="14.25">
      <c r="A70" s="97">
        <v>2012</v>
      </c>
      <c r="B70" s="98" t="s">
        <v>236</v>
      </c>
      <c r="C70" s="98" t="s">
        <v>237</v>
      </c>
      <c r="D70" s="99">
        <v>1425062</v>
      </c>
      <c r="E70" s="99">
        <v>2</v>
      </c>
      <c r="F70" s="99"/>
      <c r="G70" s="99">
        <v>23</v>
      </c>
      <c r="H70" s="99" t="s">
        <v>128</v>
      </c>
      <c r="I70" s="99"/>
      <c r="J70" s="99" t="s">
        <v>129</v>
      </c>
      <c r="K70" s="99" t="b">
        <v>1</v>
      </c>
      <c r="L70" s="95">
        <v>2022</v>
      </c>
      <c r="M70" s="96">
        <v>120000</v>
      </c>
      <c r="N70" s="100">
        <v>41152</v>
      </c>
      <c r="O70" s="100">
        <v>41152</v>
      </c>
    </row>
    <row r="71" spans="1:15" ht="14.25">
      <c r="A71" s="97">
        <v>2012</v>
      </c>
      <c r="B71" s="98" t="s">
        <v>236</v>
      </c>
      <c r="C71" s="98" t="s">
        <v>237</v>
      </c>
      <c r="D71" s="99">
        <v>1425062</v>
      </c>
      <c r="E71" s="99">
        <v>2</v>
      </c>
      <c r="F71" s="99"/>
      <c r="G71" s="99">
        <v>37</v>
      </c>
      <c r="H71" s="99">
        <v>16</v>
      </c>
      <c r="I71" s="99"/>
      <c r="J71" s="99" t="s">
        <v>142</v>
      </c>
      <c r="K71" s="99" t="b">
        <v>1</v>
      </c>
      <c r="L71" s="95">
        <v>2013</v>
      </c>
      <c r="M71" s="96">
        <v>630600</v>
      </c>
      <c r="N71" s="100">
        <v>41152</v>
      </c>
      <c r="O71" s="100">
        <v>41152</v>
      </c>
    </row>
    <row r="72" spans="1:15" ht="14.25">
      <c r="A72" s="97">
        <v>2012</v>
      </c>
      <c r="B72" s="98" t="s">
        <v>236</v>
      </c>
      <c r="C72" s="98" t="s">
        <v>237</v>
      </c>
      <c r="D72" s="99">
        <v>1425062</v>
      </c>
      <c r="E72" s="99">
        <v>2</v>
      </c>
      <c r="F72" s="99"/>
      <c r="G72" s="99">
        <v>42</v>
      </c>
      <c r="H72" s="99">
        <v>19</v>
      </c>
      <c r="I72" s="99" t="s">
        <v>247</v>
      </c>
      <c r="J72" s="99" t="s">
        <v>74</v>
      </c>
      <c r="K72" s="99" t="b">
        <v>1</v>
      </c>
      <c r="L72" s="95">
        <v>2012</v>
      </c>
      <c r="M72" s="96">
        <v>0.1176</v>
      </c>
      <c r="N72" s="100">
        <v>41152</v>
      </c>
      <c r="O72" s="100">
        <v>41152</v>
      </c>
    </row>
    <row r="73" spans="1:15" ht="14.25">
      <c r="A73" s="97">
        <v>2012</v>
      </c>
      <c r="B73" s="98" t="s">
        <v>236</v>
      </c>
      <c r="C73" s="98" t="s">
        <v>237</v>
      </c>
      <c r="D73" s="99">
        <v>1425062</v>
      </c>
      <c r="E73" s="99">
        <v>2</v>
      </c>
      <c r="F73" s="99"/>
      <c r="G73" s="99">
        <v>47</v>
      </c>
      <c r="H73" s="99" t="s">
        <v>149</v>
      </c>
      <c r="I73" s="99" t="s">
        <v>244</v>
      </c>
      <c r="J73" s="99" t="s">
        <v>78</v>
      </c>
      <c r="K73" s="99" t="b">
        <v>0</v>
      </c>
      <c r="L73" s="95">
        <v>2018</v>
      </c>
      <c r="M73" s="96">
        <v>35</v>
      </c>
      <c r="N73" s="100">
        <v>41152</v>
      </c>
      <c r="O73" s="100">
        <v>41152</v>
      </c>
    </row>
    <row r="74" spans="1:15" ht="14.25">
      <c r="A74" s="97">
        <v>2012</v>
      </c>
      <c r="B74" s="98" t="s">
        <v>236</v>
      </c>
      <c r="C74" s="98" t="s">
        <v>237</v>
      </c>
      <c r="D74" s="99">
        <v>1425062</v>
      </c>
      <c r="E74" s="99">
        <v>2</v>
      </c>
      <c r="F74" s="99"/>
      <c r="G74" s="99">
        <v>53</v>
      </c>
      <c r="H74" s="99">
        <v>26</v>
      </c>
      <c r="I74" s="99" t="s">
        <v>239</v>
      </c>
      <c r="J74" s="99" t="s">
        <v>153</v>
      </c>
      <c r="K74" s="99" t="b">
        <v>1</v>
      </c>
      <c r="L74" s="95">
        <v>2021</v>
      </c>
      <c r="M74" s="96">
        <v>37019649</v>
      </c>
      <c r="N74" s="100">
        <v>41152</v>
      </c>
      <c r="O74" s="100">
        <v>41152</v>
      </c>
    </row>
    <row r="75" spans="1:15" ht="14.25">
      <c r="A75" s="97">
        <v>2012</v>
      </c>
      <c r="B75" s="98" t="s">
        <v>236</v>
      </c>
      <c r="C75" s="98" t="s">
        <v>237</v>
      </c>
      <c r="D75" s="99">
        <v>1425062</v>
      </c>
      <c r="E75" s="99">
        <v>2</v>
      </c>
      <c r="F75" s="99"/>
      <c r="G75" s="99">
        <v>3</v>
      </c>
      <c r="H75" s="99" t="s">
        <v>98</v>
      </c>
      <c r="I75" s="99"/>
      <c r="J75" s="99" t="s">
        <v>99</v>
      </c>
      <c r="K75" s="99" t="b">
        <v>1</v>
      </c>
      <c r="L75" s="95">
        <v>2012</v>
      </c>
      <c r="M75" s="96">
        <v>131940.9</v>
      </c>
      <c r="N75" s="100">
        <v>41152</v>
      </c>
      <c r="O75" s="100">
        <v>41152</v>
      </c>
    </row>
    <row r="76" spans="1:15" ht="14.25">
      <c r="A76" s="97">
        <v>2012</v>
      </c>
      <c r="B76" s="98" t="s">
        <v>236</v>
      </c>
      <c r="C76" s="98" t="s">
        <v>237</v>
      </c>
      <c r="D76" s="99">
        <v>1425062</v>
      </c>
      <c r="E76" s="99">
        <v>2</v>
      </c>
      <c r="F76" s="99"/>
      <c r="G76" s="99">
        <v>48</v>
      </c>
      <c r="H76" s="99">
        <v>22</v>
      </c>
      <c r="I76" s="99" t="s">
        <v>242</v>
      </c>
      <c r="J76" s="99" t="s">
        <v>79</v>
      </c>
      <c r="K76" s="99" t="b">
        <v>0</v>
      </c>
      <c r="L76" s="95">
        <v>2018</v>
      </c>
      <c r="M76" s="96">
        <v>0.0649</v>
      </c>
      <c r="N76" s="100">
        <v>41152</v>
      </c>
      <c r="O76" s="100">
        <v>41152</v>
      </c>
    </row>
    <row r="77" spans="1:15" ht="14.25">
      <c r="A77" s="97">
        <v>2012</v>
      </c>
      <c r="B77" s="98" t="s">
        <v>236</v>
      </c>
      <c r="C77" s="98" t="s">
        <v>237</v>
      </c>
      <c r="D77" s="99">
        <v>1425062</v>
      </c>
      <c r="E77" s="99">
        <v>2</v>
      </c>
      <c r="F77" s="99"/>
      <c r="G77" s="99">
        <v>41</v>
      </c>
      <c r="H77" s="99" t="s">
        <v>145</v>
      </c>
      <c r="I77" s="99" t="s">
        <v>256</v>
      </c>
      <c r="J77" s="99" t="s">
        <v>73</v>
      </c>
      <c r="K77" s="99" t="b">
        <v>0</v>
      </c>
      <c r="L77" s="95">
        <v>2014</v>
      </c>
      <c r="M77" s="96">
        <v>0.3681</v>
      </c>
      <c r="N77" s="100">
        <v>41152</v>
      </c>
      <c r="O77" s="100">
        <v>41152</v>
      </c>
    </row>
    <row r="78" spans="1:15" ht="14.25">
      <c r="A78" s="97">
        <v>2012</v>
      </c>
      <c r="B78" s="98" t="s">
        <v>236</v>
      </c>
      <c r="C78" s="98" t="s">
        <v>237</v>
      </c>
      <c r="D78" s="99">
        <v>1425062</v>
      </c>
      <c r="E78" s="99">
        <v>2</v>
      </c>
      <c r="F78" s="99"/>
      <c r="G78" s="99">
        <v>56</v>
      </c>
      <c r="H78" s="99">
        <v>29</v>
      </c>
      <c r="I78" s="99" t="s">
        <v>250</v>
      </c>
      <c r="J78" s="99" t="s">
        <v>154</v>
      </c>
      <c r="K78" s="99" t="b">
        <v>0</v>
      </c>
      <c r="L78" s="95">
        <v>2015</v>
      </c>
      <c r="M78" s="96">
        <v>985634</v>
      </c>
      <c r="N78" s="100">
        <v>41152</v>
      </c>
      <c r="O78" s="100">
        <v>41152</v>
      </c>
    </row>
    <row r="79" spans="1:15" ht="14.25">
      <c r="A79" s="97">
        <v>2012</v>
      </c>
      <c r="B79" s="98" t="s">
        <v>236</v>
      </c>
      <c r="C79" s="98" t="s">
        <v>237</v>
      </c>
      <c r="D79" s="99">
        <v>1425062</v>
      </c>
      <c r="E79" s="99">
        <v>2</v>
      </c>
      <c r="F79" s="99"/>
      <c r="G79" s="99">
        <v>44</v>
      </c>
      <c r="H79" s="99">
        <v>20</v>
      </c>
      <c r="I79" s="99" t="s">
        <v>245</v>
      </c>
      <c r="J79" s="99" t="s">
        <v>147</v>
      </c>
      <c r="K79" s="99" t="b">
        <v>1</v>
      </c>
      <c r="L79" s="95">
        <v>2014</v>
      </c>
      <c r="M79" s="96">
        <v>0.0606</v>
      </c>
      <c r="N79" s="100">
        <v>41152</v>
      </c>
      <c r="O79" s="100">
        <v>41152</v>
      </c>
    </row>
    <row r="80" spans="1:15" ht="14.25">
      <c r="A80" s="97">
        <v>2012</v>
      </c>
      <c r="B80" s="98" t="s">
        <v>236</v>
      </c>
      <c r="C80" s="98" t="s">
        <v>237</v>
      </c>
      <c r="D80" s="99">
        <v>1425062</v>
      </c>
      <c r="E80" s="99">
        <v>2</v>
      </c>
      <c r="F80" s="99"/>
      <c r="G80" s="99">
        <v>4</v>
      </c>
      <c r="H80" s="99" t="s">
        <v>100</v>
      </c>
      <c r="I80" s="99"/>
      <c r="J80" s="99" t="s">
        <v>101</v>
      </c>
      <c r="K80" s="99" t="b">
        <v>1</v>
      </c>
      <c r="L80" s="95">
        <v>2014</v>
      </c>
      <c r="M80" s="96">
        <v>1515000</v>
      </c>
      <c r="N80" s="100">
        <v>41152</v>
      </c>
      <c r="O80" s="100">
        <v>41152</v>
      </c>
    </row>
    <row r="81" spans="1:15" ht="14.25">
      <c r="A81" s="97">
        <v>2012</v>
      </c>
      <c r="B81" s="98" t="s">
        <v>236</v>
      </c>
      <c r="C81" s="98" t="s">
        <v>237</v>
      </c>
      <c r="D81" s="99">
        <v>1425062</v>
      </c>
      <c r="E81" s="99">
        <v>2</v>
      </c>
      <c r="F81" s="99"/>
      <c r="G81" s="99">
        <v>33</v>
      </c>
      <c r="H81" s="99">
        <v>13</v>
      </c>
      <c r="I81" s="99"/>
      <c r="J81" s="99" t="s">
        <v>68</v>
      </c>
      <c r="K81" s="99" t="b">
        <v>1</v>
      </c>
      <c r="L81" s="95">
        <v>2016</v>
      </c>
      <c r="M81" s="96">
        <v>10854211</v>
      </c>
      <c r="N81" s="100">
        <v>41152</v>
      </c>
      <c r="O81" s="100">
        <v>41152</v>
      </c>
    </row>
    <row r="82" spans="1:15" ht="14.25">
      <c r="A82" s="97">
        <v>2012</v>
      </c>
      <c r="B82" s="98" t="s">
        <v>236</v>
      </c>
      <c r="C82" s="98" t="s">
        <v>237</v>
      </c>
      <c r="D82" s="99">
        <v>1425062</v>
      </c>
      <c r="E82" s="99">
        <v>2</v>
      </c>
      <c r="F82" s="99"/>
      <c r="G82" s="99">
        <v>30</v>
      </c>
      <c r="H82" s="99">
        <v>11</v>
      </c>
      <c r="I82" s="99"/>
      <c r="J82" s="99" t="s">
        <v>64</v>
      </c>
      <c r="K82" s="99" t="b">
        <v>1</v>
      </c>
      <c r="L82" s="95">
        <v>2013</v>
      </c>
      <c r="M82" s="96">
        <v>3040000</v>
      </c>
      <c r="N82" s="100">
        <v>41152</v>
      </c>
      <c r="O82" s="100">
        <v>41152</v>
      </c>
    </row>
    <row r="83" spans="1:15" ht="14.25">
      <c r="A83" s="97">
        <v>2012</v>
      </c>
      <c r="B83" s="98" t="s">
        <v>236</v>
      </c>
      <c r="C83" s="98" t="s">
        <v>237</v>
      </c>
      <c r="D83" s="99">
        <v>1425062</v>
      </c>
      <c r="E83" s="99">
        <v>2</v>
      </c>
      <c r="F83" s="99"/>
      <c r="G83" s="99">
        <v>8</v>
      </c>
      <c r="H83" s="99" t="s">
        <v>106</v>
      </c>
      <c r="I83" s="99"/>
      <c r="J83" s="99" t="s">
        <v>107</v>
      </c>
      <c r="K83" s="99" t="b">
        <v>0</v>
      </c>
      <c r="L83" s="95">
        <v>2017</v>
      </c>
      <c r="M83" s="96">
        <v>16834936</v>
      </c>
      <c r="N83" s="100">
        <v>41152</v>
      </c>
      <c r="O83" s="100">
        <v>41152</v>
      </c>
    </row>
    <row r="84" spans="1:15" ht="14.25">
      <c r="A84" s="97">
        <v>2012</v>
      </c>
      <c r="B84" s="98" t="s">
        <v>236</v>
      </c>
      <c r="C84" s="98" t="s">
        <v>237</v>
      </c>
      <c r="D84" s="99">
        <v>1425062</v>
      </c>
      <c r="E84" s="99">
        <v>2</v>
      </c>
      <c r="F84" s="99"/>
      <c r="G84" s="99">
        <v>2</v>
      </c>
      <c r="H84" s="99" t="s">
        <v>96</v>
      </c>
      <c r="I84" s="99"/>
      <c r="J84" s="99" t="s">
        <v>97</v>
      </c>
      <c r="K84" s="99" t="b">
        <v>1</v>
      </c>
      <c r="L84" s="95">
        <v>2019</v>
      </c>
      <c r="M84" s="96">
        <v>34994570</v>
      </c>
      <c r="N84" s="100">
        <v>41152</v>
      </c>
      <c r="O84" s="100">
        <v>41152</v>
      </c>
    </row>
    <row r="85" spans="1:15" ht="14.25">
      <c r="A85" s="97">
        <v>2012</v>
      </c>
      <c r="B85" s="98" t="s">
        <v>236</v>
      </c>
      <c r="C85" s="98" t="s">
        <v>237</v>
      </c>
      <c r="D85" s="99">
        <v>1425062</v>
      </c>
      <c r="E85" s="99">
        <v>2</v>
      </c>
      <c r="F85" s="99"/>
      <c r="G85" s="99">
        <v>46</v>
      </c>
      <c r="H85" s="99">
        <v>21</v>
      </c>
      <c r="I85" s="99" t="s">
        <v>249</v>
      </c>
      <c r="J85" s="99" t="s">
        <v>54</v>
      </c>
      <c r="K85" s="99" t="b">
        <v>1</v>
      </c>
      <c r="L85" s="95">
        <v>2016</v>
      </c>
      <c r="M85" s="96">
        <v>0.0592</v>
      </c>
      <c r="N85" s="100">
        <v>41152</v>
      </c>
      <c r="O85" s="100">
        <v>41152</v>
      </c>
    </row>
    <row r="86" spans="1:15" ht="14.25">
      <c r="A86" s="97">
        <v>2012</v>
      </c>
      <c r="B86" s="98" t="s">
        <v>236</v>
      </c>
      <c r="C86" s="98" t="s">
        <v>237</v>
      </c>
      <c r="D86" s="99">
        <v>1425062</v>
      </c>
      <c r="E86" s="99">
        <v>2</v>
      </c>
      <c r="F86" s="99"/>
      <c r="G86" s="99">
        <v>1</v>
      </c>
      <c r="H86" s="99">
        <v>1</v>
      </c>
      <c r="I86" s="99" t="s">
        <v>252</v>
      </c>
      <c r="J86" s="99" t="s">
        <v>95</v>
      </c>
      <c r="K86" s="99" t="b">
        <v>1</v>
      </c>
      <c r="L86" s="95">
        <v>2016</v>
      </c>
      <c r="M86" s="96">
        <v>33598788</v>
      </c>
      <c r="N86" s="100">
        <v>41152</v>
      </c>
      <c r="O86" s="100">
        <v>41152</v>
      </c>
    </row>
    <row r="87" spans="1:15" ht="14.25">
      <c r="A87" s="97">
        <v>2012</v>
      </c>
      <c r="B87" s="98" t="s">
        <v>236</v>
      </c>
      <c r="C87" s="98" t="s">
        <v>237</v>
      </c>
      <c r="D87" s="99">
        <v>1425062</v>
      </c>
      <c r="E87" s="99">
        <v>2</v>
      </c>
      <c r="F87" s="99"/>
      <c r="G87" s="99">
        <v>2</v>
      </c>
      <c r="H87" s="99" t="s">
        <v>96</v>
      </c>
      <c r="I87" s="99"/>
      <c r="J87" s="99" t="s">
        <v>97</v>
      </c>
      <c r="K87" s="99" t="b">
        <v>1</v>
      </c>
      <c r="L87" s="95">
        <v>2015</v>
      </c>
      <c r="M87" s="96">
        <v>31000274</v>
      </c>
      <c r="N87" s="100">
        <v>41152</v>
      </c>
      <c r="O87" s="100">
        <v>41152</v>
      </c>
    </row>
    <row r="88" spans="1:15" ht="14.25">
      <c r="A88" s="97">
        <v>2012</v>
      </c>
      <c r="B88" s="98" t="s">
        <v>236</v>
      </c>
      <c r="C88" s="98" t="s">
        <v>237</v>
      </c>
      <c r="D88" s="99">
        <v>1425062</v>
      </c>
      <c r="E88" s="99">
        <v>2</v>
      </c>
      <c r="F88" s="99"/>
      <c r="G88" s="99">
        <v>45</v>
      </c>
      <c r="H88" s="99" t="s">
        <v>148</v>
      </c>
      <c r="I88" s="99" t="s">
        <v>238</v>
      </c>
      <c r="J88" s="99" t="s">
        <v>53</v>
      </c>
      <c r="K88" s="99" t="b">
        <v>0</v>
      </c>
      <c r="L88" s="95">
        <v>2021</v>
      </c>
      <c r="M88" s="96">
        <v>0.0775</v>
      </c>
      <c r="N88" s="100">
        <v>41152</v>
      </c>
      <c r="O88" s="100">
        <v>41152</v>
      </c>
    </row>
    <row r="89" spans="1:15" ht="14.25">
      <c r="A89" s="97">
        <v>2012</v>
      </c>
      <c r="B89" s="98" t="s">
        <v>236</v>
      </c>
      <c r="C89" s="98" t="s">
        <v>237</v>
      </c>
      <c r="D89" s="99">
        <v>1425062</v>
      </c>
      <c r="E89" s="99">
        <v>2</v>
      </c>
      <c r="F89" s="99"/>
      <c r="G89" s="99">
        <v>6</v>
      </c>
      <c r="H89" s="99" t="s">
        <v>104</v>
      </c>
      <c r="I89" s="99"/>
      <c r="J89" s="99" t="s">
        <v>105</v>
      </c>
      <c r="K89" s="99" t="b">
        <v>1</v>
      </c>
      <c r="L89" s="95">
        <v>2014</v>
      </c>
      <c r="M89" s="96">
        <v>1515000</v>
      </c>
      <c r="N89" s="100">
        <v>41152</v>
      </c>
      <c r="O89" s="100">
        <v>41152</v>
      </c>
    </row>
    <row r="90" spans="1:15" ht="14.25">
      <c r="A90" s="97">
        <v>2012</v>
      </c>
      <c r="B90" s="98" t="s">
        <v>236</v>
      </c>
      <c r="C90" s="98" t="s">
        <v>237</v>
      </c>
      <c r="D90" s="99">
        <v>1425062</v>
      </c>
      <c r="E90" s="99">
        <v>2</v>
      </c>
      <c r="F90" s="99"/>
      <c r="G90" s="99">
        <v>55</v>
      </c>
      <c r="H90" s="99">
        <v>28</v>
      </c>
      <c r="I90" s="99" t="s">
        <v>257</v>
      </c>
      <c r="J90" s="99" t="s">
        <v>48</v>
      </c>
      <c r="K90" s="99" t="b">
        <v>0</v>
      </c>
      <c r="L90" s="95">
        <v>2012</v>
      </c>
      <c r="M90" s="96">
        <v>-498448</v>
      </c>
      <c r="N90" s="100">
        <v>41152</v>
      </c>
      <c r="O90" s="100">
        <v>41152</v>
      </c>
    </row>
    <row r="91" spans="1:15" ht="14.25">
      <c r="A91" s="97">
        <v>2012</v>
      </c>
      <c r="B91" s="98" t="s">
        <v>236</v>
      </c>
      <c r="C91" s="98" t="s">
        <v>237</v>
      </c>
      <c r="D91" s="99">
        <v>1425062</v>
      </c>
      <c r="E91" s="99">
        <v>2</v>
      </c>
      <c r="F91" s="99"/>
      <c r="G91" s="99">
        <v>33</v>
      </c>
      <c r="H91" s="99">
        <v>13</v>
      </c>
      <c r="I91" s="99"/>
      <c r="J91" s="99" t="s">
        <v>68</v>
      </c>
      <c r="K91" s="99" t="b">
        <v>1</v>
      </c>
      <c r="L91" s="95">
        <v>2014</v>
      </c>
      <c r="M91" s="96">
        <v>11703774</v>
      </c>
      <c r="N91" s="100">
        <v>41152</v>
      </c>
      <c r="O91" s="100">
        <v>41152</v>
      </c>
    </row>
    <row r="92" spans="1:15" ht="14.25">
      <c r="A92" s="97">
        <v>2012</v>
      </c>
      <c r="B92" s="98" t="s">
        <v>236</v>
      </c>
      <c r="C92" s="98" t="s">
        <v>237</v>
      </c>
      <c r="D92" s="99">
        <v>1425062</v>
      </c>
      <c r="E92" s="99">
        <v>2</v>
      </c>
      <c r="F92" s="99"/>
      <c r="G92" s="99">
        <v>19</v>
      </c>
      <c r="H92" s="99">
        <v>6</v>
      </c>
      <c r="I92" s="99" t="s">
        <v>251</v>
      </c>
      <c r="J92" s="99" t="s">
        <v>123</v>
      </c>
      <c r="K92" s="99" t="b">
        <v>0</v>
      </c>
      <c r="L92" s="95">
        <v>2017</v>
      </c>
      <c r="M92" s="96">
        <v>2975238</v>
      </c>
      <c r="N92" s="100">
        <v>41152</v>
      </c>
      <c r="O92" s="100">
        <v>41152</v>
      </c>
    </row>
    <row r="93" spans="1:15" ht="14.25">
      <c r="A93" s="97">
        <v>2012</v>
      </c>
      <c r="B93" s="98" t="s">
        <v>236</v>
      </c>
      <c r="C93" s="98" t="s">
        <v>237</v>
      </c>
      <c r="D93" s="99">
        <v>1425062</v>
      </c>
      <c r="E93" s="99">
        <v>2</v>
      </c>
      <c r="F93" s="99"/>
      <c r="G93" s="99">
        <v>45</v>
      </c>
      <c r="H93" s="99" t="s">
        <v>148</v>
      </c>
      <c r="I93" s="99" t="s">
        <v>238</v>
      </c>
      <c r="J93" s="99" t="s">
        <v>53</v>
      </c>
      <c r="K93" s="99" t="b">
        <v>0</v>
      </c>
      <c r="L93" s="95">
        <v>2019</v>
      </c>
      <c r="M93" s="96">
        <v>0.0744</v>
      </c>
      <c r="N93" s="100">
        <v>41152</v>
      </c>
      <c r="O93" s="100">
        <v>41152</v>
      </c>
    </row>
    <row r="94" spans="1:15" ht="14.25">
      <c r="A94" s="97">
        <v>2012</v>
      </c>
      <c r="B94" s="98" t="s">
        <v>236</v>
      </c>
      <c r="C94" s="98" t="s">
        <v>237</v>
      </c>
      <c r="D94" s="99">
        <v>1425062</v>
      </c>
      <c r="E94" s="99">
        <v>2</v>
      </c>
      <c r="F94" s="99"/>
      <c r="G94" s="99">
        <v>48</v>
      </c>
      <c r="H94" s="99">
        <v>22</v>
      </c>
      <c r="I94" s="99" t="s">
        <v>242</v>
      </c>
      <c r="J94" s="99" t="s">
        <v>79</v>
      </c>
      <c r="K94" s="99" t="b">
        <v>0</v>
      </c>
      <c r="L94" s="95">
        <v>2022</v>
      </c>
      <c r="M94" s="96">
        <v>0.0476</v>
      </c>
      <c r="N94" s="100">
        <v>41152</v>
      </c>
      <c r="O94" s="100">
        <v>41152</v>
      </c>
    </row>
    <row r="95" spans="1:15" ht="14.25">
      <c r="A95" s="97">
        <v>2012</v>
      </c>
      <c r="B95" s="98" t="s">
        <v>236</v>
      </c>
      <c r="C95" s="98" t="s">
        <v>237</v>
      </c>
      <c r="D95" s="99">
        <v>1425062</v>
      </c>
      <c r="E95" s="99">
        <v>2</v>
      </c>
      <c r="F95" s="99"/>
      <c r="G95" s="99">
        <v>1</v>
      </c>
      <c r="H95" s="99">
        <v>1</v>
      </c>
      <c r="I95" s="99" t="s">
        <v>252</v>
      </c>
      <c r="J95" s="99" t="s">
        <v>95</v>
      </c>
      <c r="K95" s="99" t="b">
        <v>1</v>
      </c>
      <c r="L95" s="95">
        <v>2019</v>
      </c>
      <c r="M95" s="96">
        <v>34994570</v>
      </c>
      <c r="N95" s="100">
        <v>41152</v>
      </c>
      <c r="O95" s="100">
        <v>41152</v>
      </c>
    </row>
    <row r="96" spans="1:15" ht="14.25">
      <c r="A96" s="97">
        <v>2012</v>
      </c>
      <c r="B96" s="98" t="s">
        <v>236</v>
      </c>
      <c r="C96" s="98" t="s">
        <v>237</v>
      </c>
      <c r="D96" s="99">
        <v>1425062</v>
      </c>
      <c r="E96" s="99">
        <v>2</v>
      </c>
      <c r="F96" s="99"/>
      <c r="G96" s="99">
        <v>27</v>
      </c>
      <c r="H96" s="99">
        <v>10</v>
      </c>
      <c r="I96" s="99"/>
      <c r="J96" s="99" t="s">
        <v>18</v>
      </c>
      <c r="K96" s="99" t="b">
        <v>0</v>
      </c>
      <c r="L96" s="95">
        <v>2022</v>
      </c>
      <c r="M96" s="96">
        <v>2107995</v>
      </c>
      <c r="N96" s="100">
        <v>41152</v>
      </c>
      <c r="O96" s="100">
        <v>41152</v>
      </c>
    </row>
    <row r="97" spans="1:15" ht="14.25">
      <c r="A97" s="97">
        <v>2012</v>
      </c>
      <c r="B97" s="98" t="s">
        <v>236</v>
      </c>
      <c r="C97" s="98" t="s">
        <v>237</v>
      </c>
      <c r="D97" s="99">
        <v>1425062</v>
      </c>
      <c r="E97" s="99">
        <v>2</v>
      </c>
      <c r="F97" s="99"/>
      <c r="G97" s="99">
        <v>49</v>
      </c>
      <c r="H97" s="99" t="s">
        <v>150</v>
      </c>
      <c r="I97" s="99" t="s">
        <v>248</v>
      </c>
      <c r="J97" s="99" t="s">
        <v>81</v>
      </c>
      <c r="K97" s="99" t="b">
        <v>0</v>
      </c>
      <c r="L97" s="95">
        <v>2015</v>
      </c>
      <c r="M97" s="96">
        <v>14</v>
      </c>
      <c r="N97" s="100">
        <v>41152</v>
      </c>
      <c r="O97" s="100">
        <v>41152</v>
      </c>
    </row>
    <row r="98" spans="1:15" ht="14.25">
      <c r="A98" s="97">
        <v>2012</v>
      </c>
      <c r="B98" s="98" t="s">
        <v>236</v>
      </c>
      <c r="C98" s="98" t="s">
        <v>237</v>
      </c>
      <c r="D98" s="99">
        <v>1425062</v>
      </c>
      <c r="E98" s="99">
        <v>2</v>
      </c>
      <c r="F98" s="99"/>
      <c r="G98" s="99">
        <v>55</v>
      </c>
      <c r="H98" s="99">
        <v>28</v>
      </c>
      <c r="I98" s="99" t="s">
        <v>257</v>
      </c>
      <c r="J98" s="99" t="s">
        <v>48</v>
      </c>
      <c r="K98" s="99" t="b">
        <v>0</v>
      </c>
      <c r="L98" s="95">
        <v>2022</v>
      </c>
      <c r="M98" s="96">
        <v>1693635</v>
      </c>
      <c r="N98" s="100">
        <v>41152</v>
      </c>
      <c r="O98" s="100">
        <v>41152</v>
      </c>
    </row>
    <row r="99" spans="1:15" ht="14.25">
      <c r="A99" s="97">
        <v>2012</v>
      </c>
      <c r="B99" s="98" t="s">
        <v>236</v>
      </c>
      <c r="C99" s="98" t="s">
        <v>237</v>
      </c>
      <c r="D99" s="99">
        <v>1425062</v>
      </c>
      <c r="E99" s="99">
        <v>2</v>
      </c>
      <c r="F99" s="99"/>
      <c r="G99" s="99">
        <v>8</v>
      </c>
      <c r="H99" s="99" t="s">
        <v>106</v>
      </c>
      <c r="I99" s="99"/>
      <c r="J99" s="99" t="s">
        <v>107</v>
      </c>
      <c r="K99" s="99" t="b">
        <v>0</v>
      </c>
      <c r="L99" s="95">
        <v>2020</v>
      </c>
      <c r="M99" s="96">
        <v>18041291</v>
      </c>
      <c r="N99" s="100">
        <v>41152</v>
      </c>
      <c r="O99" s="100">
        <v>41152</v>
      </c>
    </row>
    <row r="100" spans="1:15" ht="14.25">
      <c r="A100" s="97">
        <v>2012</v>
      </c>
      <c r="B100" s="98" t="s">
        <v>236</v>
      </c>
      <c r="C100" s="98" t="s">
        <v>237</v>
      </c>
      <c r="D100" s="99">
        <v>1425062</v>
      </c>
      <c r="E100" s="99">
        <v>2</v>
      </c>
      <c r="F100" s="99"/>
      <c r="G100" s="99">
        <v>44</v>
      </c>
      <c r="H100" s="99">
        <v>20</v>
      </c>
      <c r="I100" s="99" t="s">
        <v>245</v>
      </c>
      <c r="J100" s="99" t="s">
        <v>147</v>
      </c>
      <c r="K100" s="99" t="b">
        <v>1</v>
      </c>
      <c r="L100" s="95">
        <v>2015</v>
      </c>
      <c r="M100" s="96">
        <v>0.0604</v>
      </c>
      <c r="N100" s="100">
        <v>41152</v>
      </c>
      <c r="O100" s="100">
        <v>41152</v>
      </c>
    </row>
    <row r="101" spans="1:15" ht="14.25">
      <c r="A101" s="97">
        <v>2012</v>
      </c>
      <c r="B101" s="98" t="s">
        <v>236</v>
      </c>
      <c r="C101" s="98" t="s">
        <v>237</v>
      </c>
      <c r="D101" s="99">
        <v>1425062</v>
      </c>
      <c r="E101" s="99">
        <v>2</v>
      </c>
      <c r="F101" s="99"/>
      <c r="G101" s="99">
        <v>52</v>
      </c>
      <c r="H101" s="99">
        <v>25</v>
      </c>
      <c r="I101" s="99" t="s">
        <v>254</v>
      </c>
      <c r="J101" s="99" t="s">
        <v>49</v>
      </c>
      <c r="K101" s="99" t="b">
        <v>1</v>
      </c>
      <c r="L101" s="95">
        <v>2018</v>
      </c>
      <c r="M101" s="96">
        <v>2656476</v>
      </c>
      <c r="N101" s="100">
        <v>41152</v>
      </c>
      <c r="O101" s="100">
        <v>41152</v>
      </c>
    </row>
    <row r="102" spans="1:15" ht="14.25">
      <c r="A102" s="97">
        <v>2012</v>
      </c>
      <c r="B102" s="98" t="s">
        <v>236</v>
      </c>
      <c r="C102" s="98" t="s">
        <v>237</v>
      </c>
      <c r="D102" s="99">
        <v>1425062</v>
      </c>
      <c r="E102" s="99">
        <v>2</v>
      </c>
      <c r="F102" s="99"/>
      <c r="G102" s="99">
        <v>46</v>
      </c>
      <c r="H102" s="99">
        <v>21</v>
      </c>
      <c r="I102" s="99" t="s">
        <v>249</v>
      </c>
      <c r="J102" s="99" t="s">
        <v>54</v>
      </c>
      <c r="K102" s="99" t="b">
        <v>1</v>
      </c>
      <c r="L102" s="95">
        <v>2015</v>
      </c>
      <c r="M102" s="96">
        <v>0.0593</v>
      </c>
      <c r="N102" s="100">
        <v>41152</v>
      </c>
      <c r="O102" s="100">
        <v>41152</v>
      </c>
    </row>
    <row r="103" spans="1:15" ht="14.25">
      <c r="A103" s="97">
        <v>2012</v>
      </c>
      <c r="B103" s="98" t="s">
        <v>236</v>
      </c>
      <c r="C103" s="98" t="s">
        <v>237</v>
      </c>
      <c r="D103" s="99">
        <v>1425062</v>
      </c>
      <c r="E103" s="99">
        <v>2</v>
      </c>
      <c r="F103" s="99"/>
      <c r="G103" s="99">
        <v>43</v>
      </c>
      <c r="H103" s="99" t="s">
        <v>146</v>
      </c>
      <c r="I103" s="99" t="s">
        <v>253</v>
      </c>
      <c r="J103" s="99" t="s">
        <v>76</v>
      </c>
      <c r="K103" s="99" t="b">
        <v>0</v>
      </c>
      <c r="L103" s="95">
        <v>2013</v>
      </c>
      <c r="M103" s="96">
        <v>0.14</v>
      </c>
      <c r="N103" s="100">
        <v>41152</v>
      </c>
      <c r="O103" s="100">
        <v>41152</v>
      </c>
    </row>
    <row r="104" spans="1:15" ht="14.25">
      <c r="A104" s="97">
        <v>2012</v>
      </c>
      <c r="B104" s="98" t="s">
        <v>236</v>
      </c>
      <c r="C104" s="98" t="s">
        <v>237</v>
      </c>
      <c r="D104" s="99">
        <v>1425062</v>
      </c>
      <c r="E104" s="99">
        <v>2</v>
      </c>
      <c r="F104" s="99"/>
      <c r="G104" s="99">
        <v>37</v>
      </c>
      <c r="H104" s="99">
        <v>16</v>
      </c>
      <c r="I104" s="99"/>
      <c r="J104" s="99" t="s">
        <v>142</v>
      </c>
      <c r="K104" s="99" t="b">
        <v>1</v>
      </c>
      <c r="L104" s="95">
        <v>2017</v>
      </c>
      <c r="M104" s="96">
        <v>1694000</v>
      </c>
      <c r="N104" s="100">
        <v>41152</v>
      </c>
      <c r="O104" s="100">
        <v>41152</v>
      </c>
    </row>
    <row r="105" spans="1:15" ht="14.25">
      <c r="A105" s="97">
        <v>2012</v>
      </c>
      <c r="B105" s="98" t="s">
        <v>236</v>
      </c>
      <c r="C105" s="98" t="s">
        <v>237</v>
      </c>
      <c r="D105" s="99">
        <v>1425062</v>
      </c>
      <c r="E105" s="99">
        <v>2</v>
      </c>
      <c r="F105" s="99"/>
      <c r="G105" s="99">
        <v>9</v>
      </c>
      <c r="H105" s="99" t="s">
        <v>108</v>
      </c>
      <c r="I105" s="99"/>
      <c r="J105" s="99" t="s">
        <v>109</v>
      </c>
      <c r="K105" s="99" t="b">
        <v>0</v>
      </c>
      <c r="L105" s="95">
        <v>2015</v>
      </c>
      <c r="M105" s="96">
        <v>3182961</v>
      </c>
      <c r="N105" s="100">
        <v>41152</v>
      </c>
      <c r="O105" s="100">
        <v>41152</v>
      </c>
    </row>
    <row r="106" spans="1:15" ht="14.25">
      <c r="A106" s="97">
        <v>2012</v>
      </c>
      <c r="B106" s="98" t="s">
        <v>236</v>
      </c>
      <c r="C106" s="98" t="s">
        <v>237</v>
      </c>
      <c r="D106" s="99">
        <v>1425062</v>
      </c>
      <c r="E106" s="99">
        <v>2</v>
      </c>
      <c r="F106" s="99"/>
      <c r="G106" s="99">
        <v>52</v>
      </c>
      <c r="H106" s="99">
        <v>25</v>
      </c>
      <c r="I106" s="99" t="s">
        <v>254</v>
      </c>
      <c r="J106" s="99" t="s">
        <v>49</v>
      </c>
      <c r="K106" s="99" t="b">
        <v>1</v>
      </c>
      <c r="L106" s="95">
        <v>2021</v>
      </c>
      <c r="M106" s="96">
        <v>3462847</v>
      </c>
      <c r="N106" s="100">
        <v>41152</v>
      </c>
      <c r="O106" s="100">
        <v>41152</v>
      </c>
    </row>
    <row r="107" spans="1:15" ht="14.25">
      <c r="A107" s="97">
        <v>2012</v>
      </c>
      <c r="B107" s="98" t="s">
        <v>236</v>
      </c>
      <c r="C107" s="98" t="s">
        <v>237</v>
      </c>
      <c r="D107" s="99">
        <v>1425062</v>
      </c>
      <c r="E107" s="99">
        <v>2</v>
      </c>
      <c r="F107" s="99"/>
      <c r="G107" s="99">
        <v>44</v>
      </c>
      <c r="H107" s="99">
        <v>20</v>
      </c>
      <c r="I107" s="99" t="s">
        <v>245</v>
      </c>
      <c r="J107" s="99" t="s">
        <v>147</v>
      </c>
      <c r="K107" s="99" t="b">
        <v>1</v>
      </c>
      <c r="L107" s="95">
        <v>2020</v>
      </c>
      <c r="M107" s="96">
        <v>0.0599</v>
      </c>
      <c r="N107" s="100">
        <v>41152</v>
      </c>
      <c r="O107" s="100">
        <v>41152</v>
      </c>
    </row>
    <row r="108" spans="1:15" ht="14.25">
      <c r="A108" s="97">
        <v>2012</v>
      </c>
      <c r="B108" s="98" t="s">
        <v>236</v>
      </c>
      <c r="C108" s="98" t="s">
        <v>237</v>
      </c>
      <c r="D108" s="99">
        <v>1425062</v>
      </c>
      <c r="E108" s="99">
        <v>2</v>
      </c>
      <c r="F108" s="99"/>
      <c r="G108" s="99">
        <v>46</v>
      </c>
      <c r="H108" s="99">
        <v>21</v>
      </c>
      <c r="I108" s="99" t="s">
        <v>249</v>
      </c>
      <c r="J108" s="99" t="s">
        <v>54</v>
      </c>
      <c r="K108" s="99" t="b">
        <v>1</v>
      </c>
      <c r="L108" s="95">
        <v>2017</v>
      </c>
      <c r="M108" s="96">
        <v>0.062</v>
      </c>
      <c r="N108" s="100">
        <v>41152</v>
      </c>
      <c r="O108" s="100">
        <v>41152</v>
      </c>
    </row>
    <row r="109" spans="1:15" ht="14.25">
      <c r="A109" s="97">
        <v>2012</v>
      </c>
      <c r="B109" s="98" t="s">
        <v>236</v>
      </c>
      <c r="C109" s="98" t="s">
        <v>237</v>
      </c>
      <c r="D109" s="99">
        <v>1425062</v>
      </c>
      <c r="E109" s="99">
        <v>2</v>
      </c>
      <c r="F109" s="99"/>
      <c r="G109" s="99">
        <v>28</v>
      </c>
      <c r="H109" s="99" t="s">
        <v>134</v>
      </c>
      <c r="I109" s="99"/>
      <c r="J109" s="99" t="s">
        <v>135</v>
      </c>
      <c r="K109" s="99" t="b">
        <v>0</v>
      </c>
      <c r="L109" s="95">
        <v>2016</v>
      </c>
      <c r="M109" s="96">
        <v>3372147</v>
      </c>
      <c r="N109" s="100">
        <v>41152</v>
      </c>
      <c r="O109" s="100">
        <v>41152</v>
      </c>
    </row>
    <row r="110" spans="1:15" ht="14.25">
      <c r="A110" s="97">
        <v>2012</v>
      </c>
      <c r="B110" s="98" t="s">
        <v>236</v>
      </c>
      <c r="C110" s="98" t="s">
        <v>237</v>
      </c>
      <c r="D110" s="99">
        <v>1425062</v>
      </c>
      <c r="E110" s="99">
        <v>2</v>
      </c>
      <c r="F110" s="99"/>
      <c r="G110" s="99">
        <v>51</v>
      </c>
      <c r="H110" s="99">
        <v>24</v>
      </c>
      <c r="I110" s="99" t="s">
        <v>246</v>
      </c>
      <c r="J110" s="99" t="s">
        <v>152</v>
      </c>
      <c r="K110" s="99" t="b">
        <v>1</v>
      </c>
      <c r="L110" s="95">
        <v>2019</v>
      </c>
      <c r="M110" s="96">
        <v>31702291</v>
      </c>
      <c r="N110" s="100">
        <v>41152</v>
      </c>
      <c r="O110" s="100">
        <v>41152</v>
      </c>
    </row>
    <row r="111" spans="1:15" ht="14.25">
      <c r="A111" s="97">
        <v>2012</v>
      </c>
      <c r="B111" s="98" t="s">
        <v>236</v>
      </c>
      <c r="C111" s="98" t="s">
        <v>237</v>
      </c>
      <c r="D111" s="99">
        <v>1425062</v>
      </c>
      <c r="E111" s="99">
        <v>2</v>
      </c>
      <c r="F111" s="99"/>
      <c r="G111" s="99">
        <v>23</v>
      </c>
      <c r="H111" s="99" t="s">
        <v>128</v>
      </c>
      <c r="I111" s="99"/>
      <c r="J111" s="99" t="s">
        <v>129</v>
      </c>
      <c r="K111" s="99" t="b">
        <v>1</v>
      </c>
      <c r="L111" s="95">
        <v>2018</v>
      </c>
      <c r="M111" s="96">
        <v>250000</v>
      </c>
      <c r="N111" s="100">
        <v>41152</v>
      </c>
      <c r="O111" s="100">
        <v>41152</v>
      </c>
    </row>
    <row r="112" spans="1:15" ht="14.25">
      <c r="A112" s="97">
        <v>2012</v>
      </c>
      <c r="B112" s="98" t="s">
        <v>236</v>
      </c>
      <c r="C112" s="98" t="s">
        <v>237</v>
      </c>
      <c r="D112" s="99">
        <v>1425062</v>
      </c>
      <c r="E112" s="99">
        <v>2</v>
      </c>
      <c r="F112" s="99"/>
      <c r="G112" s="99">
        <v>12</v>
      </c>
      <c r="H112" s="99" t="s">
        <v>114</v>
      </c>
      <c r="I112" s="99"/>
      <c r="J112" s="99" t="s">
        <v>115</v>
      </c>
      <c r="K112" s="99" t="b">
        <v>0</v>
      </c>
      <c r="L112" s="95">
        <v>2014</v>
      </c>
      <c r="M112" s="96">
        <v>200000</v>
      </c>
      <c r="N112" s="100">
        <v>41152</v>
      </c>
      <c r="O112" s="100">
        <v>41152</v>
      </c>
    </row>
    <row r="113" spans="1:15" ht="14.25">
      <c r="A113" s="97">
        <v>2012</v>
      </c>
      <c r="B113" s="98" t="s">
        <v>236</v>
      </c>
      <c r="C113" s="98" t="s">
        <v>237</v>
      </c>
      <c r="D113" s="99">
        <v>1425062</v>
      </c>
      <c r="E113" s="99">
        <v>2</v>
      </c>
      <c r="F113" s="99"/>
      <c r="G113" s="99">
        <v>40</v>
      </c>
      <c r="H113" s="99">
        <v>18</v>
      </c>
      <c r="I113" s="99" t="s">
        <v>258</v>
      </c>
      <c r="J113" s="99" t="s">
        <v>71</v>
      </c>
      <c r="K113" s="99" t="b">
        <v>0</v>
      </c>
      <c r="L113" s="95">
        <v>2019</v>
      </c>
      <c r="M113" s="96">
        <v>0.136</v>
      </c>
      <c r="N113" s="100">
        <v>41152</v>
      </c>
      <c r="O113" s="100">
        <v>41152</v>
      </c>
    </row>
    <row r="114" spans="1:15" ht="14.25">
      <c r="A114" s="97">
        <v>2012</v>
      </c>
      <c r="B114" s="98" t="s">
        <v>236</v>
      </c>
      <c r="C114" s="98" t="s">
        <v>237</v>
      </c>
      <c r="D114" s="99">
        <v>1425062</v>
      </c>
      <c r="E114" s="99">
        <v>2</v>
      </c>
      <c r="F114" s="99"/>
      <c r="G114" s="99">
        <v>23</v>
      </c>
      <c r="H114" s="99" t="s">
        <v>128</v>
      </c>
      <c r="I114" s="99"/>
      <c r="J114" s="99" t="s">
        <v>129</v>
      </c>
      <c r="K114" s="99" t="b">
        <v>1</v>
      </c>
      <c r="L114" s="95">
        <v>2017</v>
      </c>
      <c r="M114" s="96">
        <v>350000</v>
      </c>
      <c r="N114" s="100">
        <v>41152</v>
      </c>
      <c r="O114" s="100">
        <v>41152</v>
      </c>
    </row>
    <row r="115" spans="1:15" ht="14.25">
      <c r="A115" s="97">
        <v>2012</v>
      </c>
      <c r="B115" s="98" t="s">
        <v>236</v>
      </c>
      <c r="C115" s="98" t="s">
        <v>237</v>
      </c>
      <c r="D115" s="99">
        <v>1425062</v>
      </c>
      <c r="E115" s="99">
        <v>2</v>
      </c>
      <c r="F115" s="99"/>
      <c r="G115" s="99">
        <v>27</v>
      </c>
      <c r="H115" s="99">
        <v>10</v>
      </c>
      <c r="I115" s="99"/>
      <c r="J115" s="99" t="s">
        <v>18</v>
      </c>
      <c r="K115" s="99" t="b">
        <v>0</v>
      </c>
      <c r="L115" s="95">
        <v>2013</v>
      </c>
      <c r="M115" s="96">
        <v>3068000</v>
      </c>
      <c r="N115" s="100">
        <v>41152</v>
      </c>
      <c r="O115" s="100">
        <v>41152</v>
      </c>
    </row>
    <row r="116" spans="1:15" ht="14.25">
      <c r="A116" s="97">
        <v>2012</v>
      </c>
      <c r="B116" s="98" t="s">
        <v>236</v>
      </c>
      <c r="C116" s="98" t="s">
        <v>237</v>
      </c>
      <c r="D116" s="99">
        <v>1425062</v>
      </c>
      <c r="E116" s="99">
        <v>2</v>
      </c>
      <c r="F116" s="99"/>
      <c r="G116" s="99">
        <v>52</v>
      </c>
      <c r="H116" s="99">
        <v>25</v>
      </c>
      <c r="I116" s="99" t="s">
        <v>254</v>
      </c>
      <c r="J116" s="99" t="s">
        <v>49</v>
      </c>
      <c r="K116" s="99" t="b">
        <v>1</v>
      </c>
      <c r="L116" s="95">
        <v>2012</v>
      </c>
      <c r="M116" s="96">
        <v>1653630.3</v>
      </c>
      <c r="N116" s="100">
        <v>41152</v>
      </c>
      <c r="O116" s="100">
        <v>41152</v>
      </c>
    </row>
    <row r="117" spans="1:15" ht="14.25">
      <c r="A117" s="97">
        <v>2012</v>
      </c>
      <c r="B117" s="98" t="s">
        <v>236</v>
      </c>
      <c r="C117" s="98" t="s">
        <v>237</v>
      </c>
      <c r="D117" s="99">
        <v>1425062</v>
      </c>
      <c r="E117" s="99">
        <v>2</v>
      </c>
      <c r="F117" s="99"/>
      <c r="G117" s="99">
        <v>27</v>
      </c>
      <c r="H117" s="99">
        <v>10</v>
      </c>
      <c r="I117" s="99"/>
      <c r="J117" s="99" t="s">
        <v>18</v>
      </c>
      <c r="K117" s="99" t="b">
        <v>0</v>
      </c>
      <c r="L117" s="95">
        <v>2020</v>
      </c>
      <c r="M117" s="96">
        <v>1610059</v>
      </c>
      <c r="N117" s="100">
        <v>41152</v>
      </c>
      <c r="O117" s="100">
        <v>41152</v>
      </c>
    </row>
    <row r="118" spans="1:15" ht="14.25">
      <c r="A118" s="97">
        <v>2012</v>
      </c>
      <c r="B118" s="98" t="s">
        <v>236</v>
      </c>
      <c r="C118" s="98" t="s">
        <v>237</v>
      </c>
      <c r="D118" s="99">
        <v>1425062</v>
      </c>
      <c r="E118" s="99">
        <v>2</v>
      </c>
      <c r="F118" s="99"/>
      <c r="G118" s="99">
        <v>9</v>
      </c>
      <c r="H118" s="99" t="s">
        <v>108</v>
      </c>
      <c r="I118" s="99"/>
      <c r="J118" s="99" t="s">
        <v>109</v>
      </c>
      <c r="K118" s="99" t="b">
        <v>0</v>
      </c>
      <c r="L118" s="95">
        <v>2013</v>
      </c>
      <c r="M118" s="96">
        <v>3023685</v>
      </c>
      <c r="N118" s="100">
        <v>41152</v>
      </c>
      <c r="O118" s="100">
        <v>41152</v>
      </c>
    </row>
    <row r="119" spans="1:15" ht="14.25">
      <c r="A119" s="97">
        <v>2012</v>
      </c>
      <c r="B119" s="98" t="s">
        <v>236</v>
      </c>
      <c r="C119" s="98" t="s">
        <v>237</v>
      </c>
      <c r="D119" s="99">
        <v>1425062</v>
      </c>
      <c r="E119" s="99">
        <v>2</v>
      </c>
      <c r="F119" s="99"/>
      <c r="G119" s="99">
        <v>8</v>
      </c>
      <c r="H119" s="99" t="s">
        <v>106</v>
      </c>
      <c r="I119" s="99"/>
      <c r="J119" s="99" t="s">
        <v>107</v>
      </c>
      <c r="K119" s="99" t="b">
        <v>0</v>
      </c>
      <c r="L119" s="95">
        <v>2014</v>
      </c>
      <c r="M119" s="96">
        <v>15541758</v>
      </c>
      <c r="N119" s="100">
        <v>41152</v>
      </c>
      <c r="O119" s="100">
        <v>41152</v>
      </c>
    </row>
    <row r="120" spans="1:15" ht="14.25">
      <c r="A120" s="97">
        <v>2012</v>
      </c>
      <c r="B120" s="98" t="s">
        <v>236</v>
      </c>
      <c r="C120" s="98" t="s">
        <v>237</v>
      </c>
      <c r="D120" s="99">
        <v>1425062</v>
      </c>
      <c r="E120" s="99">
        <v>2</v>
      </c>
      <c r="F120" s="99"/>
      <c r="G120" s="99">
        <v>20</v>
      </c>
      <c r="H120" s="99">
        <v>7</v>
      </c>
      <c r="I120" s="99" t="s">
        <v>259</v>
      </c>
      <c r="J120" s="99" t="s">
        <v>12</v>
      </c>
      <c r="K120" s="99" t="b">
        <v>1</v>
      </c>
      <c r="L120" s="95">
        <v>2014</v>
      </c>
      <c r="M120" s="96">
        <v>1391000</v>
      </c>
      <c r="N120" s="100">
        <v>41152</v>
      </c>
      <c r="O120" s="100">
        <v>41152</v>
      </c>
    </row>
    <row r="121" spans="1:15" ht="14.25">
      <c r="A121" s="97">
        <v>2012</v>
      </c>
      <c r="B121" s="98" t="s">
        <v>236</v>
      </c>
      <c r="C121" s="98" t="s">
        <v>237</v>
      </c>
      <c r="D121" s="99">
        <v>1425062</v>
      </c>
      <c r="E121" s="99">
        <v>2</v>
      </c>
      <c r="F121" s="99"/>
      <c r="G121" s="99">
        <v>49</v>
      </c>
      <c r="H121" s="99" t="s">
        <v>150</v>
      </c>
      <c r="I121" s="99" t="s">
        <v>248</v>
      </c>
      <c r="J121" s="99" t="s">
        <v>81</v>
      </c>
      <c r="K121" s="99" t="b">
        <v>0</v>
      </c>
      <c r="L121" s="95">
        <v>2022</v>
      </c>
      <c r="M121" s="96">
        <v>349</v>
      </c>
      <c r="N121" s="100">
        <v>41152</v>
      </c>
      <c r="O121" s="100">
        <v>41152</v>
      </c>
    </row>
    <row r="122" spans="1:15" ht="14.25">
      <c r="A122" s="97">
        <v>2012</v>
      </c>
      <c r="B122" s="98" t="s">
        <v>236</v>
      </c>
      <c r="C122" s="98" t="s">
        <v>237</v>
      </c>
      <c r="D122" s="99">
        <v>1425062</v>
      </c>
      <c r="E122" s="99">
        <v>2</v>
      </c>
      <c r="F122" s="99"/>
      <c r="G122" s="99">
        <v>55</v>
      </c>
      <c r="H122" s="99">
        <v>28</v>
      </c>
      <c r="I122" s="99" t="s">
        <v>257</v>
      </c>
      <c r="J122" s="99" t="s">
        <v>48</v>
      </c>
      <c r="K122" s="99" t="b">
        <v>0</v>
      </c>
      <c r="L122" s="95">
        <v>2015</v>
      </c>
      <c r="M122" s="96">
        <v>411266</v>
      </c>
      <c r="N122" s="100">
        <v>41152</v>
      </c>
      <c r="O122" s="100">
        <v>41152</v>
      </c>
    </row>
    <row r="123" spans="1:15" ht="14.25">
      <c r="A123" s="97">
        <v>2012</v>
      </c>
      <c r="B123" s="98" t="s">
        <v>236</v>
      </c>
      <c r="C123" s="98" t="s">
        <v>237</v>
      </c>
      <c r="D123" s="99">
        <v>1425062</v>
      </c>
      <c r="E123" s="99">
        <v>2</v>
      </c>
      <c r="F123" s="99"/>
      <c r="G123" s="99">
        <v>53</v>
      </c>
      <c r="H123" s="99">
        <v>26</v>
      </c>
      <c r="I123" s="99" t="s">
        <v>239</v>
      </c>
      <c r="J123" s="99" t="s">
        <v>153</v>
      </c>
      <c r="K123" s="99" t="b">
        <v>1</v>
      </c>
      <c r="L123" s="95">
        <v>2019</v>
      </c>
      <c r="M123" s="96">
        <v>34994570</v>
      </c>
      <c r="N123" s="100">
        <v>41152</v>
      </c>
      <c r="O123" s="100">
        <v>41152</v>
      </c>
    </row>
    <row r="124" spans="1:15" ht="14.25">
      <c r="A124" s="97">
        <v>2012</v>
      </c>
      <c r="B124" s="98" t="s">
        <v>236</v>
      </c>
      <c r="C124" s="98" t="s">
        <v>237</v>
      </c>
      <c r="D124" s="99">
        <v>1425062</v>
      </c>
      <c r="E124" s="99">
        <v>2</v>
      </c>
      <c r="F124" s="99"/>
      <c r="G124" s="99">
        <v>21</v>
      </c>
      <c r="H124" s="99" t="s">
        <v>124</v>
      </c>
      <c r="I124" s="99"/>
      <c r="J124" s="99" t="s">
        <v>125</v>
      </c>
      <c r="K124" s="99" t="b">
        <v>1</v>
      </c>
      <c r="L124" s="95">
        <v>2014</v>
      </c>
      <c r="M124" s="96">
        <v>781000</v>
      </c>
      <c r="N124" s="100">
        <v>41152</v>
      </c>
      <c r="O124" s="100">
        <v>41152</v>
      </c>
    </row>
    <row r="125" spans="1:15" ht="14.25">
      <c r="A125" s="97">
        <v>2012</v>
      </c>
      <c r="B125" s="98" t="s">
        <v>236</v>
      </c>
      <c r="C125" s="98" t="s">
        <v>237</v>
      </c>
      <c r="D125" s="99">
        <v>1425062</v>
      </c>
      <c r="E125" s="99">
        <v>2</v>
      </c>
      <c r="F125" s="99"/>
      <c r="G125" s="99">
        <v>53</v>
      </c>
      <c r="H125" s="99">
        <v>26</v>
      </c>
      <c r="I125" s="99" t="s">
        <v>239</v>
      </c>
      <c r="J125" s="99" t="s">
        <v>153</v>
      </c>
      <c r="K125" s="99" t="b">
        <v>1</v>
      </c>
      <c r="L125" s="95">
        <v>2016</v>
      </c>
      <c r="M125" s="96">
        <v>33598788</v>
      </c>
      <c r="N125" s="100">
        <v>41152</v>
      </c>
      <c r="O125" s="100">
        <v>41152</v>
      </c>
    </row>
    <row r="126" spans="1:15" ht="14.25">
      <c r="A126" s="97">
        <v>2012</v>
      </c>
      <c r="B126" s="98" t="s">
        <v>236</v>
      </c>
      <c r="C126" s="98" t="s">
        <v>237</v>
      </c>
      <c r="D126" s="99">
        <v>1425062</v>
      </c>
      <c r="E126" s="99">
        <v>2</v>
      </c>
      <c r="F126" s="99"/>
      <c r="G126" s="99">
        <v>27</v>
      </c>
      <c r="H126" s="99">
        <v>10</v>
      </c>
      <c r="I126" s="99"/>
      <c r="J126" s="99" t="s">
        <v>18</v>
      </c>
      <c r="K126" s="99" t="b">
        <v>0</v>
      </c>
      <c r="L126" s="95">
        <v>2012</v>
      </c>
      <c r="M126" s="96">
        <v>5523702.3</v>
      </c>
      <c r="N126" s="100">
        <v>41152</v>
      </c>
      <c r="O126" s="100">
        <v>41152</v>
      </c>
    </row>
    <row r="127" spans="1:15" ht="14.25">
      <c r="A127" s="97">
        <v>2012</v>
      </c>
      <c r="B127" s="98" t="s">
        <v>236</v>
      </c>
      <c r="C127" s="98" t="s">
        <v>237</v>
      </c>
      <c r="D127" s="99">
        <v>1425062</v>
      </c>
      <c r="E127" s="99">
        <v>2</v>
      </c>
      <c r="F127" s="99"/>
      <c r="G127" s="99">
        <v>13</v>
      </c>
      <c r="H127" s="99" t="s">
        <v>116</v>
      </c>
      <c r="I127" s="99"/>
      <c r="J127" s="99" t="s">
        <v>117</v>
      </c>
      <c r="K127" s="99" t="b">
        <v>0</v>
      </c>
      <c r="L127" s="95">
        <v>2013</v>
      </c>
      <c r="M127" s="96">
        <v>190000</v>
      </c>
      <c r="N127" s="100">
        <v>41152</v>
      </c>
      <c r="O127" s="100">
        <v>41152</v>
      </c>
    </row>
    <row r="128" spans="1:15" ht="14.25">
      <c r="A128" s="97">
        <v>2012</v>
      </c>
      <c r="B128" s="98" t="s">
        <v>236</v>
      </c>
      <c r="C128" s="98" t="s">
        <v>237</v>
      </c>
      <c r="D128" s="99">
        <v>1425062</v>
      </c>
      <c r="E128" s="99">
        <v>2</v>
      </c>
      <c r="F128" s="99"/>
      <c r="G128" s="99">
        <v>51</v>
      </c>
      <c r="H128" s="99">
        <v>24</v>
      </c>
      <c r="I128" s="99" t="s">
        <v>246</v>
      </c>
      <c r="J128" s="99" t="s">
        <v>152</v>
      </c>
      <c r="K128" s="99" t="b">
        <v>1</v>
      </c>
      <c r="L128" s="95">
        <v>2013</v>
      </c>
      <c r="M128" s="96">
        <v>27585233</v>
      </c>
      <c r="N128" s="100">
        <v>41152</v>
      </c>
      <c r="O128" s="100">
        <v>41152</v>
      </c>
    </row>
    <row r="129" spans="1:15" ht="14.25">
      <c r="A129" s="97">
        <v>2012</v>
      </c>
      <c r="B129" s="98" t="s">
        <v>236</v>
      </c>
      <c r="C129" s="98" t="s">
        <v>237</v>
      </c>
      <c r="D129" s="99">
        <v>1425062</v>
      </c>
      <c r="E129" s="99">
        <v>2</v>
      </c>
      <c r="F129" s="99"/>
      <c r="G129" s="99">
        <v>53</v>
      </c>
      <c r="H129" s="99">
        <v>26</v>
      </c>
      <c r="I129" s="99" t="s">
        <v>239</v>
      </c>
      <c r="J129" s="99" t="s">
        <v>153</v>
      </c>
      <c r="K129" s="99" t="b">
        <v>1</v>
      </c>
      <c r="L129" s="95">
        <v>2022</v>
      </c>
      <c r="M129" s="96">
        <v>38130238</v>
      </c>
      <c r="N129" s="100">
        <v>41152</v>
      </c>
      <c r="O129" s="100">
        <v>41152</v>
      </c>
    </row>
    <row r="130" spans="1:15" ht="14.25">
      <c r="A130" s="97">
        <v>2012</v>
      </c>
      <c r="B130" s="98" t="s">
        <v>236</v>
      </c>
      <c r="C130" s="98" t="s">
        <v>237</v>
      </c>
      <c r="D130" s="99">
        <v>1425062</v>
      </c>
      <c r="E130" s="99">
        <v>2</v>
      </c>
      <c r="F130" s="99"/>
      <c r="G130" s="99">
        <v>21</v>
      </c>
      <c r="H130" s="99" t="s">
        <v>124</v>
      </c>
      <c r="I130" s="99"/>
      <c r="J130" s="99" t="s">
        <v>125</v>
      </c>
      <c r="K130" s="99" t="b">
        <v>1</v>
      </c>
      <c r="L130" s="95">
        <v>2018</v>
      </c>
      <c r="M130" s="96">
        <v>1950000</v>
      </c>
      <c r="N130" s="100">
        <v>41152</v>
      </c>
      <c r="O130" s="100">
        <v>41152</v>
      </c>
    </row>
    <row r="131" spans="1:15" ht="14.25">
      <c r="A131" s="97">
        <v>2012</v>
      </c>
      <c r="B131" s="98" t="s">
        <v>236</v>
      </c>
      <c r="C131" s="98" t="s">
        <v>237</v>
      </c>
      <c r="D131" s="99">
        <v>1425062</v>
      </c>
      <c r="E131" s="99">
        <v>2</v>
      </c>
      <c r="F131" s="99"/>
      <c r="G131" s="99">
        <v>33</v>
      </c>
      <c r="H131" s="99">
        <v>13</v>
      </c>
      <c r="I131" s="99"/>
      <c r="J131" s="99" t="s">
        <v>68</v>
      </c>
      <c r="K131" s="99" t="b">
        <v>1</v>
      </c>
      <c r="L131" s="95">
        <v>2020</v>
      </c>
      <c r="M131" s="96">
        <v>4260211</v>
      </c>
      <c r="N131" s="100">
        <v>41152</v>
      </c>
      <c r="O131" s="100">
        <v>41152</v>
      </c>
    </row>
    <row r="132" spans="1:15" ht="14.25">
      <c r="A132" s="97">
        <v>2012</v>
      </c>
      <c r="B132" s="98" t="s">
        <v>236</v>
      </c>
      <c r="C132" s="98" t="s">
        <v>237</v>
      </c>
      <c r="D132" s="99">
        <v>1425062</v>
      </c>
      <c r="E132" s="99">
        <v>2</v>
      </c>
      <c r="F132" s="99"/>
      <c r="G132" s="99">
        <v>23</v>
      </c>
      <c r="H132" s="99" t="s">
        <v>128</v>
      </c>
      <c r="I132" s="99"/>
      <c r="J132" s="99" t="s">
        <v>129</v>
      </c>
      <c r="K132" s="99" t="b">
        <v>1</v>
      </c>
      <c r="L132" s="95">
        <v>2019</v>
      </c>
      <c r="M132" s="96">
        <v>120000</v>
      </c>
      <c r="N132" s="100">
        <v>41152</v>
      </c>
      <c r="O132" s="100">
        <v>41152</v>
      </c>
    </row>
    <row r="133" spans="1:15" ht="14.25">
      <c r="A133" s="97">
        <v>2012</v>
      </c>
      <c r="B133" s="98" t="s">
        <v>236</v>
      </c>
      <c r="C133" s="98" t="s">
        <v>237</v>
      </c>
      <c r="D133" s="99">
        <v>1425062</v>
      </c>
      <c r="E133" s="99">
        <v>2</v>
      </c>
      <c r="F133" s="99"/>
      <c r="G133" s="99">
        <v>26</v>
      </c>
      <c r="H133" s="99">
        <v>9</v>
      </c>
      <c r="I133" s="99" t="s">
        <v>260</v>
      </c>
      <c r="J133" s="99" t="s">
        <v>133</v>
      </c>
      <c r="K133" s="99" t="b">
        <v>0</v>
      </c>
      <c r="L133" s="95">
        <v>2012</v>
      </c>
      <c r="M133" s="96">
        <v>1864302.3</v>
      </c>
      <c r="N133" s="100">
        <v>41152</v>
      </c>
      <c r="O133" s="100">
        <v>41152</v>
      </c>
    </row>
    <row r="134" spans="1:15" ht="14.25">
      <c r="A134" s="97">
        <v>2012</v>
      </c>
      <c r="B134" s="98" t="s">
        <v>236</v>
      </c>
      <c r="C134" s="98" t="s">
        <v>237</v>
      </c>
      <c r="D134" s="99">
        <v>1425062</v>
      </c>
      <c r="E134" s="99">
        <v>2</v>
      </c>
      <c r="F134" s="99"/>
      <c r="G134" s="99">
        <v>45</v>
      </c>
      <c r="H134" s="99" t="s">
        <v>148</v>
      </c>
      <c r="I134" s="99" t="s">
        <v>238</v>
      </c>
      <c r="J134" s="99" t="s">
        <v>53</v>
      </c>
      <c r="K134" s="99" t="b">
        <v>0</v>
      </c>
      <c r="L134" s="95">
        <v>2012</v>
      </c>
      <c r="M134" s="96">
        <v>0.0931</v>
      </c>
      <c r="N134" s="100">
        <v>41152</v>
      </c>
      <c r="O134" s="100">
        <v>41152</v>
      </c>
    </row>
    <row r="135" spans="1:15" ht="14.25">
      <c r="A135" s="97">
        <v>2012</v>
      </c>
      <c r="B135" s="98" t="s">
        <v>236</v>
      </c>
      <c r="C135" s="98" t="s">
        <v>237</v>
      </c>
      <c r="D135" s="99">
        <v>1425062</v>
      </c>
      <c r="E135" s="99">
        <v>2</v>
      </c>
      <c r="F135" s="99"/>
      <c r="G135" s="99">
        <v>41</v>
      </c>
      <c r="H135" s="99" t="s">
        <v>145</v>
      </c>
      <c r="I135" s="99" t="s">
        <v>256</v>
      </c>
      <c r="J135" s="99" t="s">
        <v>73</v>
      </c>
      <c r="K135" s="99" t="b">
        <v>0</v>
      </c>
      <c r="L135" s="95">
        <v>2018</v>
      </c>
      <c r="M135" s="96">
        <v>0.2128</v>
      </c>
      <c r="N135" s="100">
        <v>41152</v>
      </c>
      <c r="O135" s="100">
        <v>41152</v>
      </c>
    </row>
    <row r="136" spans="1:15" ht="14.25">
      <c r="A136" s="97">
        <v>2012</v>
      </c>
      <c r="B136" s="98" t="s">
        <v>236</v>
      </c>
      <c r="C136" s="98" t="s">
        <v>237</v>
      </c>
      <c r="D136" s="99">
        <v>1425062</v>
      </c>
      <c r="E136" s="99">
        <v>2</v>
      </c>
      <c r="F136" s="99"/>
      <c r="G136" s="99">
        <v>41</v>
      </c>
      <c r="H136" s="99" t="s">
        <v>145</v>
      </c>
      <c r="I136" s="99" t="s">
        <v>256</v>
      </c>
      <c r="J136" s="99" t="s">
        <v>73</v>
      </c>
      <c r="K136" s="99" t="b">
        <v>0</v>
      </c>
      <c r="L136" s="95">
        <v>2016</v>
      </c>
      <c r="M136" s="96">
        <v>0.3231</v>
      </c>
      <c r="N136" s="100">
        <v>41152</v>
      </c>
      <c r="O136" s="100">
        <v>41152</v>
      </c>
    </row>
    <row r="137" spans="1:15" ht="14.25">
      <c r="A137" s="97">
        <v>2012</v>
      </c>
      <c r="B137" s="98" t="s">
        <v>236</v>
      </c>
      <c r="C137" s="98" t="s">
        <v>237</v>
      </c>
      <c r="D137" s="99">
        <v>1425062</v>
      </c>
      <c r="E137" s="99">
        <v>2</v>
      </c>
      <c r="F137" s="99"/>
      <c r="G137" s="99">
        <v>30</v>
      </c>
      <c r="H137" s="99">
        <v>11</v>
      </c>
      <c r="I137" s="99"/>
      <c r="J137" s="99" t="s">
        <v>64</v>
      </c>
      <c r="K137" s="99" t="b">
        <v>1</v>
      </c>
      <c r="L137" s="95">
        <v>2015</v>
      </c>
      <c r="M137" s="96">
        <v>985634</v>
      </c>
      <c r="N137" s="100">
        <v>41152</v>
      </c>
      <c r="O137" s="100">
        <v>41152</v>
      </c>
    </row>
    <row r="138" spans="1:15" ht="14.25">
      <c r="A138" s="97">
        <v>2012</v>
      </c>
      <c r="B138" s="98" t="s">
        <v>236</v>
      </c>
      <c r="C138" s="98" t="s">
        <v>237</v>
      </c>
      <c r="D138" s="99">
        <v>1425062</v>
      </c>
      <c r="E138" s="99">
        <v>2</v>
      </c>
      <c r="F138" s="99"/>
      <c r="G138" s="99">
        <v>20</v>
      </c>
      <c r="H138" s="99">
        <v>7</v>
      </c>
      <c r="I138" s="99" t="s">
        <v>259</v>
      </c>
      <c r="J138" s="99" t="s">
        <v>12</v>
      </c>
      <c r="K138" s="99" t="b">
        <v>1</v>
      </c>
      <c r="L138" s="95">
        <v>2022</v>
      </c>
      <c r="M138" s="96">
        <v>1813635</v>
      </c>
      <c r="N138" s="100">
        <v>41152</v>
      </c>
      <c r="O138" s="100">
        <v>41152</v>
      </c>
    </row>
    <row r="139" spans="1:15" ht="14.25">
      <c r="A139" s="97">
        <v>2012</v>
      </c>
      <c r="B139" s="98" t="s">
        <v>236</v>
      </c>
      <c r="C139" s="98" t="s">
        <v>237</v>
      </c>
      <c r="D139" s="99">
        <v>1425062</v>
      </c>
      <c r="E139" s="99">
        <v>2</v>
      </c>
      <c r="F139" s="99"/>
      <c r="G139" s="99">
        <v>14</v>
      </c>
      <c r="H139" s="99">
        <v>3</v>
      </c>
      <c r="I139" s="99" t="s">
        <v>243</v>
      </c>
      <c r="J139" s="99" t="s">
        <v>118</v>
      </c>
      <c r="K139" s="99" t="b">
        <v>1</v>
      </c>
      <c r="L139" s="95">
        <v>2020</v>
      </c>
      <c r="M139" s="96">
        <v>2326459</v>
      </c>
      <c r="N139" s="100">
        <v>41152</v>
      </c>
      <c r="O139" s="100">
        <v>41152</v>
      </c>
    </row>
    <row r="140" spans="1:15" ht="14.25">
      <c r="A140" s="97">
        <v>2012</v>
      </c>
      <c r="B140" s="98" t="s">
        <v>236</v>
      </c>
      <c r="C140" s="98" t="s">
        <v>237</v>
      </c>
      <c r="D140" s="99">
        <v>1425062</v>
      </c>
      <c r="E140" s="99">
        <v>2</v>
      </c>
      <c r="F140" s="99"/>
      <c r="G140" s="99">
        <v>55</v>
      </c>
      <c r="H140" s="99">
        <v>28</v>
      </c>
      <c r="I140" s="99" t="s">
        <v>257</v>
      </c>
      <c r="J140" s="99" t="s">
        <v>48</v>
      </c>
      <c r="K140" s="99" t="b">
        <v>0</v>
      </c>
      <c r="L140" s="95">
        <v>2017</v>
      </c>
      <c r="M140" s="96">
        <v>1694000</v>
      </c>
      <c r="N140" s="100">
        <v>41152</v>
      </c>
      <c r="O140" s="100">
        <v>41152</v>
      </c>
    </row>
    <row r="141" spans="1:15" ht="14.25">
      <c r="A141" s="97">
        <v>2012</v>
      </c>
      <c r="B141" s="98" t="s">
        <v>236</v>
      </c>
      <c r="C141" s="98" t="s">
        <v>237</v>
      </c>
      <c r="D141" s="99">
        <v>1425062</v>
      </c>
      <c r="E141" s="99">
        <v>2</v>
      </c>
      <c r="F141" s="99"/>
      <c r="G141" s="99">
        <v>57</v>
      </c>
      <c r="H141" s="99">
        <v>30</v>
      </c>
      <c r="I141" s="99" t="s">
        <v>240</v>
      </c>
      <c r="J141" s="99" t="s">
        <v>155</v>
      </c>
      <c r="K141" s="99" t="b">
        <v>0</v>
      </c>
      <c r="L141" s="95">
        <v>2017</v>
      </c>
      <c r="M141" s="96">
        <v>1694000</v>
      </c>
      <c r="N141" s="100">
        <v>41152</v>
      </c>
      <c r="O141" s="100">
        <v>41152</v>
      </c>
    </row>
    <row r="142" spans="1:15" ht="14.25">
      <c r="A142" s="97">
        <v>2012</v>
      </c>
      <c r="B142" s="98" t="s">
        <v>236</v>
      </c>
      <c r="C142" s="98" t="s">
        <v>237</v>
      </c>
      <c r="D142" s="99">
        <v>1425062</v>
      </c>
      <c r="E142" s="99">
        <v>2</v>
      </c>
      <c r="F142" s="99"/>
      <c r="G142" s="99">
        <v>45</v>
      </c>
      <c r="H142" s="99" t="s">
        <v>148</v>
      </c>
      <c r="I142" s="99" t="s">
        <v>238</v>
      </c>
      <c r="J142" s="99" t="s">
        <v>53</v>
      </c>
      <c r="K142" s="99" t="b">
        <v>0</v>
      </c>
      <c r="L142" s="95">
        <v>2018</v>
      </c>
      <c r="M142" s="96">
        <v>0.0684</v>
      </c>
      <c r="N142" s="100">
        <v>41152</v>
      </c>
      <c r="O142" s="100">
        <v>41152</v>
      </c>
    </row>
    <row r="143" spans="1:15" ht="14.25">
      <c r="A143" s="97">
        <v>2012</v>
      </c>
      <c r="B143" s="98" t="s">
        <v>236</v>
      </c>
      <c r="C143" s="98" t="s">
        <v>237</v>
      </c>
      <c r="D143" s="99">
        <v>1425062</v>
      </c>
      <c r="E143" s="99">
        <v>2</v>
      </c>
      <c r="F143" s="99"/>
      <c r="G143" s="99">
        <v>1</v>
      </c>
      <c r="H143" s="99">
        <v>1</v>
      </c>
      <c r="I143" s="99" t="s">
        <v>252</v>
      </c>
      <c r="J143" s="99" t="s">
        <v>95</v>
      </c>
      <c r="K143" s="99" t="b">
        <v>1</v>
      </c>
      <c r="L143" s="95">
        <v>2021</v>
      </c>
      <c r="M143" s="96">
        <v>37019649</v>
      </c>
      <c r="N143" s="100">
        <v>41152</v>
      </c>
      <c r="O143" s="100">
        <v>41152</v>
      </c>
    </row>
    <row r="144" spans="1:15" ht="14.25">
      <c r="A144" s="97">
        <v>2012</v>
      </c>
      <c r="B144" s="98" t="s">
        <v>236</v>
      </c>
      <c r="C144" s="98" t="s">
        <v>237</v>
      </c>
      <c r="D144" s="99">
        <v>1425062</v>
      </c>
      <c r="E144" s="99">
        <v>2</v>
      </c>
      <c r="F144" s="99"/>
      <c r="G144" s="99">
        <v>2</v>
      </c>
      <c r="H144" s="99" t="s">
        <v>96</v>
      </c>
      <c r="I144" s="99"/>
      <c r="J144" s="99" t="s">
        <v>97</v>
      </c>
      <c r="K144" s="99" t="b">
        <v>1</v>
      </c>
      <c r="L144" s="95">
        <v>2018</v>
      </c>
      <c r="M144" s="96">
        <v>33878223</v>
      </c>
      <c r="N144" s="100">
        <v>41152</v>
      </c>
      <c r="O144" s="100">
        <v>41152</v>
      </c>
    </row>
    <row r="145" spans="1:15" ht="14.25">
      <c r="A145" s="97">
        <v>2012</v>
      </c>
      <c r="B145" s="98" t="s">
        <v>236</v>
      </c>
      <c r="C145" s="98" t="s">
        <v>237</v>
      </c>
      <c r="D145" s="99">
        <v>1425062</v>
      </c>
      <c r="E145" s="99">
        <v>2</v>
      </c>
      <c r="F145" s="99"/>
      <c r="G145" s="99">
        <v>44</v>
      </c>
      <c r="H145" s="99">
        <v>20</v>
      </c>
      <c r="I145" s="99" t="s">
        <v>245</v>
      </c>
      <c r="J145" s="99" t="s">
        <v>147</v>
      </c>
      <c r="K145" s="99" t="b">
        <v>1</v>
      </c>
      <c r="L145" s="95">
        <v>2018</v>
      </c>
      <c r="M145" s="96">
        <v>0.0784</v>
      </c>
      <c r="N145" s="100">
        <v>41152</v>
      </c>
      <c r="O145" s="100">
        <v>41152</v>
      </c>
    </row>
    <row r="146" spans="1:15" ht="14.25">
      <c r="A146" s="97">
        <v>2012</v>
      </c>
      <c r="B146" s="98" t="s">
        <v>236</v>
      </c>
      <c r="C146" s="98" t="s">
        <v>237</v>
      </c>
      <c r="D146" s="99">
        <v>1425062</v>
      </c>
      <c r="E146" s="99">
        <v>2</v>
      </c>
      <c r="F146" s="99"/>
      <c r="G146" s="99">
        <v>23</v>
      </c>
      <c r="H146" s="99" t="s">
        <v>128</v>
      </c>
      <c r="I146" s="99"/>
      <c r="J146" s="99" t="s">
        <v>129</v>
      </c>
      <c r="K146" s="99" t="b">
        <v>1</v>
      </c>
      <c r="L146" s="95">
        <v>2013</v>
      </c>
      <c r="M146" s="96">
        <v>720000</v>
      </c>
      <c r="N146" s="100">
        <v>41152</v>
      </c>
      <c r="O146" s="100">
        <v>41152</v>
      </c>
    </row>
    <row r="147" spans="1:15" ht="14.25">
      <c r="A147" s="97">
        <v>2012</v>
      </c>
      <c r="B147" s="98" t="s">
        <v>236</v>
      </c>
      <c r="C147" s="98" t="s">
        <v>237</v>
      </c>
      <c r="D147" s="99">
        <v>1425062</v>
      </c>
      <c r="E147" s="99">
        <v>2</v>
      </c>
      <c r="F147" s="99"/>
      <c r="G147" s="99">
        <v>40</v>
      </c>
      <c r="H147" s="99">
        <v>18</v>
      </c>
      <c r="I147" s="99" t="s">
        <v>258</v>
      </c>
      <c r="J147" s="99" t="s">
        <v>71</v>
      </c>
      <c r="K147" s="99" t="b">
        <v>0</v>
      </c>
      <c r="L147" s="95">
        <v>2018</v>
      </c>
      <c r="M147" s="96">
        <v>0.2128</v>
      </c>
      <c r="N147" s="100">
        <v>41152</v>
      </c>
      <c r="O147" s="100">
        <v>41152</v>
      </c>
    </row>
    <row r="148" spans="1:15" ht="14.25">
      <c r="A148" s="97">
        <v>2012</v>
      </c>
      <c r="B148" s="98" t="s">
        <v>236</v>
      </c>
      <c r="C148" s="98" t="s">
        <v>237</v>
      </c>
      <c r="D148" s="99">
        <v>1425062</v>
      </c>
      <c r="E148" s="99">
        <v>2</v>
      </c>
      <c r="F148" s="99"/>
      <c r="G148" s="99">
        <v>49</v>
      </c>
      <c r="H148" s="99" t="s">
        <v>150</v>
      </c>
      <c r="I148" s="99" t="s">
        <v>248</v>
      </c>
      <c r="J148" s="99" t="s">
        <v>81</v>
      </c>
      <c r="K148" s="99" t="b">
        <v>0</v>
      </c>
      <c r="L148" s="95">
        <v>2014</v>
      </c>
      <c r="M148" s="96">
        <v>6</v>
      </c>
      <c r="N148" s="100">
        <v>41152</v>
      </c>
      <c r="O148" s="100">
        <v>41152</v>
      </c>
    </row>
    <row r="149" spans="1:15" ht="14.25">
      <c r="A149" s="97">
        <v>2012</v>
      </c>
      <c r="B149" s="98" t="s">
        <v>236</v>
      </c>
      <c r="C149" s="98" t="s">
        <v>237</v>
      </c>
      <c r="D149" s="99">
        <v>1425062</v>
      </c>
      <c r="E149" s="99">
        <v>2</v>
      </c>
      <c r="F149" s="99"/>
      <c r="G149" s="99">
        <v>37</v>
      </c>
      <c r="H149" s="99">
        <v>16</v>
      </c>
      <c r="I149" s="99"/>
      <c r="J149" s="99" t="s">
        <v>142</v>
      </c>
      <c r="K149" s="99" t="b">
        <v>1</v>
      </c>
      <c r="L149" s="95">
        <v>2018</v>
      </c>
      <c r="M149" s="96">
        <v>1950000</v>
      </c>
      <c r="N149" s="100">
        <v>41152</v>
      </c>
      <c r="O149" s="100">
        <v>41152</v>
      </c>
    </row>
    <row r="150" spans="1:15" ht="14.25">
      <c r="A150" s="97">
        <v>2012</v>
      </c>
      <c r="B150" s="98" t="s">
        <v>236</v>
      </c>
      <c r="C150" s="98" t="s">
        <v>237</v>
      </c>
      <c r="D150" s="99">
        <v>1425062</v>
      </c>
      <c r="E150" s="99">
        <v>2</v>
      </c>
      <c r="F150" s="99"/>
      <c r="G150" s="99">
        <v>40</v>
      </c>
      <c r="H150" s="99">
        <v>18</v>
      </c>
      <c r="I150" s="99" t="s">
        <v>258</v>
      </c>
      <c r="J150" s="99" t="s">
        <v>71</v>
      </c>
      <c r="K150" s="99" t="b">
        <v>0</v>
      </c>
      <c r="L150" s="95">
        <v>2014</v>
      </c>
      <c r="M150" s="96">
        <v>0.3681</v>
      </c>
      <c r="N150" s="100">
        <v>41152</v>
      </c>
      <c r="O150" s="100">
        <v>41152</v>
      </c>
    </row>
    <row r="151" spans="1:15" ht="14.25">
      <c r="A151" s="97">
        <v>2012</v>
      </c>
      <c r="B151" s="98" t="s">
        <v>236</v>
      </c>
      <c r="C151" s="98" t="s">
        <v>237</v>
      </c>
      <c r="D151" s="99">
        <v>1425062</v>
      </c>
      <c r="E151" s="99">
        <v>2</v>
      </c>
      <c r="F151" s="99"/>
      <c r="G151" s="99">
        <v>46</v>
      </c>
      <c r="H151" s="99">
        <v>21</v>
      </c>
      <c r="I151" s="99" t="s">
        <v>249</v>
      </c>
      <c r="J151" s="99" t="s">
        <v>54</v>
      </c>
      <c r="K151" s="99" t="b">
        <v>1</v>
      </c>
      <c r="L151" s="95">
        <v>2013</v>
      </c>
      <c r="M151" s="96">
        <v>0.14</v>
      </c>
      <c r="N151" s="100">
        <v>41152</v>
      </c>
      <c r="O151" s="100">
        <v>41152</v>
      </c>
    </row>
    <row r="152" spans="1:15" ht="14.25">
      <c r="A152" s="97">
        <v>2012</v>
      </c>
      <c r="B152" s="98" t="s">
        <v>236</v>
      </c>
      <c r="C152" s="98" t="s">
        <v>237</v>
      </c>
      <c r="D152" s="99">
        <v>1425062</v>
      </c>
      <c r="E152" s="99">
        <v>2</v>
      </c>
      <c r="F152" s="99"/>
      <c r="G152" s="99">
        <v>8</v>
      </c>
      <c r="H152" s="99" t="s">
        <v>106</v>
      </c>
      <c r="I152" s="99"/>
      <c r="J152" s="99" t="s">
        <v>107</v>
      </c>
      <c r="K152" s="99" t="b">
        <v>0</v>
      </c>
      <c r="L152" s="95">
        <v>2022</v>
      </c>
      <c r="M152" s="96">
        <v>18880734</v>
      </c>
      <c r="N152" s="100">
        <v>41152</v>
      </c>
      <c r="O152" s="100">
        <v>41152</v>
      </c>
    </row>
    <row r="153" spans="1:15" ht="14.25">
      <c r="A153" s="97">
        <v>2012</v>
      </c>
      <c r="B153" s="98" t="s">
        <v>236</v>
      </c>
      <c r="C153" s="98" t="s">
        <v>237</v>
      </c>
      <c r="D153" s="99">
        <v>1425062</v>
      </c>
      <c r="E153" s="99">
        <v>2</v>
      </c>
      <c r="F153" s="99"/>
      <c r="G153" s="99">
        <v>2</v>
      </c>
      <c r="H153" s="99" t="s">
        <v>96</v>
      </c>
      <c r="I153" s="99"/>
      <c r="J153" s="99" t="s">
        <v>97</v>
      </c>
      <c r="K153" s="99" t="b">
        <v>1</v>
      </c>
      <c r="L153" s="95">
        <v>2012</v>
      </c>
      <c r="M153" s="96">
        <v>28620205.19</v>
      </c>
      <c r="N153" s="100">
        <v>41152</v>
      </c>
      <c r="O153" s="100">
        <v>41152</v>
      </c>
    </row>
    <row r="154" spans="1:15" ht="14.25">
      <c r="A154" s="97">
        <v>2012</v>
      </c>
      <c r="B154" s="98" t="s">
        <v>236</v>
      </c>
      <c r="C154" s="98" t="s">
        <v>237</v>
      </c>
      <c r="D154" s="99">
        <v>1425062</v>
      </c>
      <c r="E154" s="99">
        <v>2</v>
      </c>
      <c r="F154" s="99"/>
      <c r="G154" s="99">
        <v>48</v>
      </c>
      <c r="H154" s="99">
        <v>22</v>
      </c>
      <c r="I154" s="99" t="s">
        <v>242</v>
      </c>
      <c r="J154" s="99" t="s">
        <v>79</v>
      </c>
      <c r="K154" s="99" t="b">
        <v>0</v>
      </c>
      <c r="L154" s="95">
        <v>2012</v>
      </c>
      <c r="M154" s="96">
        <v>0.1176</v>
      </c>
      <c r="N154" s="100">
        <v>41152</v>
      </c>
      <c r="O154" s="100">
        <v>41152</v>
      </c>
    </row>
    <row r="155" spans="1:15" ht="14.25">
      <c r="A155" s="97">
        <v>2012</v>
      </c>
      <c r="B155" s="98" t="s">
        <v>236</v>
      </c>
      <c r="C155" s="98" t="s">
        <v>237</v>
      </c>
      <c r="D155" s="99">
        <v>1425062</v>
      </c>
      <c r="E155" s="99">
        <v>2</v>
      </c>
      <c r="F155" s="99"/>
      <c r="G155" s="99">
        <v>24</v>
      </c>
      <c r="H155" s="99" t="s">
        <v>130</v>
      </c>
      <c r="I155" s="99"/>
      <c r="J155" s="99" t="s">
        <v>131</v>
      </c>
      <c r="K155" s="99" t="b">
        <v>1</v>
      </c>
      <c r="L155" s="95">
        <v>2013</v>
      </c>
      <c r="M155" s="96">
        <v>710000</v>
      </c>
      <c r="N155" s="100">
        <v>41152</v>
      </c>
      <c r="O155" s="100">
        <v>41152</v>
      </c>
    </row>
    <row r="156" spans="1:15" ht="14.25">
      <c r="A156" s="97">
        <v>2012</v>
      </c>
      <c r="B156" s="98" t="s">
        <v>236</v>
      </c>
      <c r="C156" s="98" t="s">
        <v>237</v>
      </c>
      <c r="D156" s="99">
        <v>1425062</v>
      </c>
      <c r="E156" s="99">
        <v>2</v>
      </c>
      <c r="F156" s="99"/>
      <c r="G156" s="99">
        <v>33</v>
      </c>
      <c r="H156" s="99">
        <v>13</v>
      </c>
      <c r="I156" s="99"/>
      <c r="J156" s="99" t="s">
        <v>68</v>
      </c>
      <c r="K156" s="99" t="b">
        <v>1</v>
      </c>
      <c r="L156" s="95">
        <v>2019</v>
      </c>
      <c r="M156" s="96">
        <v>4760211</v>
      </c>
      <c r="N156" s="100">
        <v>41152</v>
      </c>
      <c r="O156" s="100">
        <v>41152</v>
      </c>
    </row>
    <row r="157" spans="1:15" ht="14.25">
      <c r="A157" s="97">
        <v>2012</v>
      </c>
      <c r="B157" s="98" t="s">
        <v>236</v>
      </c>
      <c r="C157" s="98" t="s">
        <v>237</v>
      </c>
      <c r="D157" s="99">
        <v>1425062</v>
      </c>
      <c r="E157" s="99">
        <v>2</v>
      </c>
      <c r="F157" s="99"/>
      <c r="G157" s="99">
        <v>57</v>
      </c>
      <c r="H157" s="99">
        <v>30</v>
      </c>
      <c r="I157" s="99" t="s">
        <v>240</v>
      </c>
      <c r="J157" s="99" t="s">
        <v>155</v>
      </c>
      <c r="K157" s="99" t="b">
        <v>0</v>
      </c>
      <c r="L157" s="95">
        <v>2013</v>
      </c>
      <c r="M157" s="96">
        <v>3670600</v>
      </c>
      <c r="N157" s="100">
        <v>41152</v>
      </c>
      <c r="O157" s="100">
        <v>41152</v>
      </c>
    </row>
    <row r="158" spans="1:15" ht="14.25">
      <c r="A158" s="97">
        <v>2012</v>
      </c>
      <c r="B158" s="98" t="s">
        <v>236</v>
      </c>
      <c r="C158" s="98" t="s">
        <v>237</v>
      </c>
      <c r="D158" s="99">
        <v>1425062</v>
      </c>
      <c r="E158" s="99">
        <v>2</v>
      </c>
      <c r="F158" s="99"/>
      <c r="G158" s="99">
        <v>43</v>
      </c>
      <c r="H158" s="99" t="s">
        <v>146</v>
      </c>
      <c r="I158" s="99" t="s">
        <v>253</v>
      </c>
      <c r="J158" s="99" t="s">
        <v>76</v>
      </c>
      <c r="K158" s="99" t="b">
        <v>0</v>
      </c>
      <c r="L158" s="95">
        <v>2014</v>
      </c>
      <c r="M158" s="96">
        <v>0.0434</v>
      </c>
      <c r="N158" s="100">
        <v>41152</v>
      </c>
      <c r="O158" s="100">
        <v>41152</v>
      </c>
    </row>
    <row r="159" spans="1:15" ht="14.25">
      <c r="A159" s="97">
        <v>2012</v>
      </c>
      <c r="B159" s="98" t="s">
        <v>236</v>
      </c>
      <c r="C159" s="98" t="s">
        <v>237</v>
      </c>
      <c r="D159" s="99">
        <v>1425062</v>
      </c>
      <c r="E159" s="99">
        <v>2</v>
      </c>
      <c r="F159" s="99"/>
      <c r="G159" s="99">
        <v>37</v>
      </c>
      <c r="H159" s="99">
        <v>16</v>
      </c>
      <c r="I159" s="99"/>
      <c r="J159" s="99" t="s">
        <v>142</v>
      </c>
      <c r="K159" s="99" t="b">
        <v>1</v>
      </c>
      <c r="L159" s="95">
        <v>2020</v>
      </c>
      <c r="M159" s="96">
        <v>500000</v>
      </c>
      <c r="N159" s="100">
        <v>41152</v>
      </c>
      <c r="O159" s="100">
        <v>41152</v>
      </c>
    </row>
    <row r="160" spans="1:15" ht="14.25">
      <c r="A160" s="97">
        <v>2012</v>
      </c>
      <c r="B160" s="98" t="s">
        <v>236</v>
      </c>
      <c r="C160" s="98" t="s">
        <v>237</v>
      </c>
      <c r="D160" s="99">
        <v>1425062</v>
      </c>
      <c r="E160" s="99">
        <v>2</v>
      </c>
      <c r="F160" s="99"/>
      <c r="G160" s="99">
        <v>54</v>
      </c>
      <c r="H160" s="99">
        <v>27</v>
      </c>
      <c r="I160" s="99" t="s">
        <v>241</v>
      </c>
      <c r="J160" s="99" t="s">
        <v>46</v>
      </c>
      <c r="K160" s="99" t="b">
        <v>0</v>
      </c>
      <c r="L160" s="95">
        <v>2018</v>
      </c>
      <c r="M160" s="96">
        <v>31928223</v>
      </c>
      <c r="N160" s="100">
        <v>41152</v>
      </c>
      <c r="O160" s="100">
        <v>41152</v>
      </c>
    </row>
    <row r="161" spans="1:15" ht="14.25">
      <c r="A161" s="97">
        <v>2012</v>
      </c>
      <c r="B161" s="98" t="s">
        <v>236</v>
      </c>
      <c r="C161" s="98" t="s">
        <v>237</v>
      </c>
      <c r="D161" s="99">
        <v>1425062</v>
      </c>
      <c r="E161" s="99">
        <v>2</v>
      </c>
      <c r="F161" s="99"/>
      <c r="G161" s="99">
        <v>26</v>
      </c>
      <c r="H161" s="99">
        <v>9</v>
      </c>
      <c r="I161" s="99" t="s">
        <v>260</v>
      </c>
      <c r="J161" s="99" t="s">
        <v>133</v>
      </c>
      <c r="K161" s="99" t="b">
        <v>0</v>
      </c>
      <c r="L161" s="95">
        <v>2013</v>
      </c>
      <c r="M161" s="96">
        <v>28000</v>
      </c>
      <c r="N161" s="100">
        <v>41152</v>
      </c>
      <c r="O161" s="100">
        <v>41152</v>
      </c>
    </row>
    <row r="162" spans="1:15" ht="14.25">
      <c r="A162" s="97">
        <v>2012</v>
      </c>
      <c r="B162" s="98" t="s">
        <v>236</v>
      </c>
      <c r="C162" s="98" t="s">
        <v>237</v>
      </c>
      <c r="D162" s="99">
        <v>1425062</v>
      </c>
      <c r="E162" s="99">
        <v>2</v>
      </c>
      <c r="F162" s="99"/>
      <c r="G162" s="99">
        <v>20</v>
      </c>
      <c r="H162" s="99">
        <v>7</v>
      </c>
      <c r="I162" s="99" t="s">
        <v>259</v>
      </c>
      <c r="J162" s="99" t="s">
        <v>12</v>
      </c>
      <c r="K162" s="99" t="b">
        <v>1</v>
      </c>
      <c r="L162" s="95">
        <v>2019</v>
      </c>
      <c r="M162" s="96">
        <v>2570000</v>
      </c>
      <c r="N162" s="100">
        <v>41152</v>
      </c>
      <c r="O162" s="100">
        <v>41152</v>
      </c>
    </row>
    <row r="163" spans="1:15" ht="14.25">
      <c r="A163" s="97">
        <v>2012</v>
      </c>
      <c r="B163" s="98" t="s">
        <v>236</v>
      </c>
      <c r="C163" s="98" t="s">
        <v>237</v>
      </c>
      <c r="D163" s="99">
        <v>1425062</v>
      </c>
      <c r="E163" s="99">
        <v>2</v>
      </c>
      <c r="F163" s="99"/>
      <c r="G163" s="99">
        <v>55</v>
      </c>
      <c r="H163" s="99">
        <v>28</v>
      </c>
      <c r="I163" s="99" t="s">
        <v>257</v>
      </c>
      <c r="J163" s="99" t="s">
        <v>48</v>
      </c>
      <c r="K163" s="99" t="b">
        <v>0</v>
      </c>
      <c r="L163" s="95">
        <v>2018</v>
      </c>
      <c r="M163" s="96">
        <v>1950000</v>
      </c>
      <c r="N163" s="100">
        <v>41152</v>
      </c>
      <c r="O163" s="100">
        <v>41152</v>
      </c>
    </row>
    <row r="164" spans="1:15" ht="14.25">
      <c r="A164" s="97">
        <v>2012</v>
      </c>
      <c r="B164" s="98" t="s">
        <v>236</v>
      </c>
      <c r="C164" s="98" t="s">
        <v>237</v>
      </c>
      <c r="D164" s="99">
        <v>1425062</v>
      </c>
      <c r="E164" s="99">
        <v>2</v>
      </c>
      <c r="F164" s="99"/>
      <c r="G164" s="99">
        <v>20</v>
      </c>
      <c r="H164" s="99">
        <v>7</v>
      </c>
      <c r="I164" s="99" t="s">
        <v>259</v>
      </c>
      <c r="J164" s="99" t="s">
        <v>12</v>
      </c>
      <c r="K164" s="99" t="b">
        <v>1</v>
      </c>
      <c r="L164" s="95">
        <v>2013</v>
      </c>
      <c r="M164" s="96">
        <v>4390600</v>
      </c>
      <c r="N164" s="100">
        <v>41152</v>
      </c>
      <c r="O164" s="100">
        <v>41152</v>
      </c>
    </row>
    <row r="165" spans="1:15" ht="14.25">
      <c r="A165" s="97">
        <v>2012</v>
      </c>
      <c r="B165" s="98" t="s">
        <v>236</v>
      </c>
      <c r="C165" s="98" t="s">
        <v>237</v>
      </c>
      <c r="D165" s="99">
        <v>1425062</v>
      </c>
      <c r="E165" s="99">
        <v>2</v>
      </c>
      <c r="F165" s="99"/>
      <c r="G165" s="99">
        <v>41</v>
      </c>
      <c r="H165" s="99" t="s">
        <v>145</v>
      </c>
      <c r="I165" s="99" t="s">
        <v>256</v>
      </c>
      <c r="J165" s="99" t="s">
        <v>73</v>
      </c>
      <c r="K165" s="99" t="b">
        <v>0</v>
      </c>
      <c r="L165" s="95">
        <v>2012</v>
      </c>
      <c r="M165" s="96">
        <v>0.3973</v>
      </c>
      <c r="N165" s="100">
        <v>41152</v>
      </c>
      <c r="O165" s="100">
        <v>41152</v>
      </c>
    </row>
    <row r="166" spans="1:15" ht="14.25">
      <c r="A166" s="97">
        <v>2012</v>
      </c>
      <c r="B166" s="98" t="s">
        <v>236</v>
      </c>
      <c r="C166" s="98" t="s">
        <v>237</v>
      </c>
      <c r="D166" s="99">
        <v>1425062</v>
      </c>
      <c r="E166" s="99">
        <v>2</v>
      </c>
      <c r="F166" s="99"/>
      <c r="G166" s="99">
        <v>29</v>
      </c>
      <c r="H166" s="99" t="s">
        <v>136</v>
      </c>
      <c r="I166" s="99"/>
      <c r="J166" s="99" t="s">
        <v>117</v>
      </c>
      <c r="K166" s="99" t="b">
        <v>0</v>
      </c>
      <c r="L166" s="95">
        <v>2016</v>
      </c>
      <c r="M166" s="96">
        <v>3156930</v>
      </c>
      <c r="N166" s="100">
        <v>41152</v>
      </c>
      <c r="O166" s="100">
        <v>41152</v>
      </c>
    </row>
    <row r="167" spans="1:15" ht="14.25">
      <c r="A167" s="97">
        <v>2012</v>
      </c>
      <c r="B167" s="98" t="s">
        <v>236</v>
      </c>
      <c r="C167" s="98" t="s">
        <v>237</v>
      </c>
      <c r="D167" s="99">
        <v>1425062</v>
      </c>
      <c r="E167" s="99">
        <v>2</v>
      </c>
      <c r="F167" s="99"/>
      <c r="G167" s="99">
        <v>26</v>
      </c>
      <c r="H167" s="99">
        <v>9</v>
      </c>
      <c r="I167" s="99" t="s">
        <v>260</v>
      </c>
      <c r="J167" s="99" t="s">
        <v>133</v>
      </c>
      <c r="K167" s="99" t="b">
        <v>0</v>
      </c>
      <c r="L167" s="95">
        <v>2021</v>
      </c>
      <c r="M167" s="96">
        <v>896271</v>
      </c>
      <c r="N167" s="100">
        <v>41152</v>
      </c>
      <c r="O167" s="100">
        <v>41152</v>
      </c>
    </row>
    <row r="168" spans="1:15" ht="14.25">
      <c r="A168" s="97">
        <v>2012</v>
      </c>
      <c r="B168" s="98" t="s">
        <v>236</v>
      </c>
      <c r="C168" s="98" t="s">
        <v>237</v>
      </c>
      <c r="D168" s="99">
        <v>1425062</v>
      </c>
      <c r="E168" s="99">
        <v>2</v>
      </c>
      <c r="F168" s="99"/>
      <c r="G168" s="99">
        <v>49</v>
      </c>
      <c r="H168" s="99" t="s">
        <v>150</v>
      </c>
      <c r="I168" s="99" t="s">
        <v>248</v>
      </c>
      <c r="J168" s="99" t="s">
        <v>81</v>
      </c>
      <c r="K168" s="99" t="b">
        <v>0</v>
      </c>
      <c r="L168" s="95">
        <v>2021</v>
      </c>
      <c r="M168" s="96">
        <v>47</v>
      </c>
      <c r="N168" s="100">
        <v>41152</v>
      </c>
      <c r="O168" s="100">
        <v>41152</v>
      </c>
    </row>
    <row r="169" spans="1:15" ht="14.25">
      <c r="A169" s="97">
        <v>2012</v>
      </c>
      <c r="B169" s="98" t="s">
        <v>236</v>
      </c>
      <c r="C169" s="98" t="s">
        <v>237</v>
      </c>
      <c r="D169" s="99">
        <v>1425062</v>
      </c>
      <c r="E169" s="99">
        <v>2</v>
      </c>
      <c r="F169" s="99"/>
      <c r="G169" s="99">
        <v>1</v>
      </c>
      <c r="H169" s="99">
        <v>1</v>
      </c>
      <c r="I169" s="99" t="s">
        <v>252</v>
      </c>
      <c r="J169" s="99" t="s">
        <v>95</v>
      </c>
      <c r="K169" s="99" t="b">
        <v>1</v>
      </c>
      <c r="L169" s="95">
        <v>2012</v>
      </c>
      <c r="M169" s="96">
        <v>31991829.19</v>
      </c>
      <c r="N169" s="100">
        <v>41152</v>
      </c>
      <c r="O169" s="100">
        <v>41152</v>
      </c>
    </row>
    <row r="170" spans="1:15" ht="14.25">
      <c r="A170" s="97">
        <v>2012</v>
      </c>
      <c r="B170" s="98" t="s">
        <v>236</v>
      </c>
      <c r="C170" s="98" t="s">
        <v>237</v>
      </c>
      <c r="D170" s="99">
        <v>1425062</v>
      </c>
      <c r="E170" s="99">
        <v>2</v>
      </c>
      <c r="F170" s="99"/>
      <c r="G170" s="99">
        <v>41</v>
      </c>
      <c r="H170" s="99" t="s">
        <v>145</v>
      </c>
      <c r="I170" s="99" t="s">
        <v>256</v>
      </c>
      <c r="J170" s="99" t="s">
        <v>73</v>
      </c>
      <c r="K170" s="99" t="b">
        <v>0</v>
      </c>
      <c r="L170" s="95">
        <v>2021</v>
      </c>
      <c r="M170" s="96">
        <v>0.0457</v>
      </c>
      <c r="N170" s="100">
        <v>41152</v>
      </c>
      <c r="O170" s="100">
        <v>41152</v>
      </c>
    </row>
    <row r="171" spans="1:15" ht="14.25">
      <c r="A171" s="97">
        <v>2012</v>
      </c>
      <c r="B171" s="98" t="s">
        <v>236</v>
      </c>
      <c r="C171" s="98" t="s">
        <v>237</v>
      </c>
      <c r="D171" s="99">
        <v>1425062</v>
      </c>
      <c r="E171" s="99">
        <v>2</v>
      </c>
      <c r="F171" s="99"/>
      <c r="G171" s="99">
        <v>23</v>
      </c>
      <c r="H171" s="99" t="s">
        <v>128</v>
      </c>
      <c r="I171" s="99"/>
      <c r="J171" s="99" t="s">
        <v>129</v>
      </c>
      <c r="K171" s="99" t="b">
        <v>1</v>
      </c>
      <c r="L171" s="95">
        <v>2016</v>
      </c>
      <c r="M171" s="96">
        <v>500000</v>
      </c>
      <c r="N171" s="100">
        <v>41152</v>
      </c>
      <c r="O171" s="100">
        <v>41152</v>
      </c>
    </row>
    <row r="172" spans="1:15" ht="14.25">
      <c r="A172" s="97">
        <v>2012</v>
      </c>
      <c r="B172" s="98" t="s">
        <v>236</v>
      </c>
      <c r="C172" s="98" t="s">
        <v>237</v>
      </c>
      <c r="D172" s="99">
        <v>1425062</v>
      </c>
      <c r="E172" s="99">
        <v>2</v>
      </c>
      <c r="F172" s="99"/>
      <c r="G172" s="99">
        <v>21</v>
      </c>
      <c r="H172" s="99" t="s">
        <v>124</v>
      </c>
      <c r="I172" s="99"/>
      <c r="J172" s="99" t="s">
        <v>125</v>
      </c>
      <c r="K172" s="99" t="b">
        <v>1</v>
      </c>
      <c r="L172" s="95">
        <v>2012</v>
      </c>
      <c r="M172" s="96">
        <v>3160952</v>
      </c>
      <c r="N172" s="100">
        <v>41152</v>
      </c>
      <c r="O172" s="100">
        <v>41152</v>
      </c>
    </row>
    <row r="173" spans="1:15" ht="14.25">
      <c r="A173" s="97">
        <v>2012</v>
      </c>
      <c r="B173" s="98" t="s">
        <v>236</v>
      </c>
      <c r="C173" s="98" t="s">
        <v>237</v>
      </c>
      <c r="D173" s="99">
        <v>1425062</v>
      </c>
      <c r="E173" s="99">
        <v>2</v>
      </c>
      <c r="F173" s="99"/>
      <c r="G173" s="99">
        <v>27</v>
      </c>
      <c r="H173" s="99">
        <v>10</v>
      </c>
      <c r="I173" s="99"/>
      <c r="J173" s="99" t="s">
        <v>18</v>
      </c>
      <c r="K173" s="99" t="b">
        <v>0</v>
      </c>
      <c r="L173" s="95">
        <v>2021</v>
      </c>
      <c r="M173" s="96">
        <v>896271</v>
      </c>
      <c r="N173" s="100">
        <v>41152</v>
      </c>
      <c r="O173" s="100">
        <v>41152</v>
      </c>
    </row>
    <row r="174" spans="1:15" ht="14.25">
      <c r="A174" s="97">
        <v>2012</v>
      </c>
      <c r="B174" s="98" t="s">
        <v>236</v>
      </c>
      <c r="C174" s="98" t="s">
        <v>237</v>
      </c>
      <c r="D174" s="99">
        <v>1425062</v>
      </c>
      <c r="E174" s="99">
        <v>2</v>
      </c>
      <c r="F174" s="99"/>
      <c r="G174" s="99">
        <v>30</v>
      </c>
      <c r="H174" s="99">
        <v>11</v>
      </c>
      <c r="I174" s="99"/>
      <c r="J174" s="99" t="s">
        <v>64</v>
      </c>
      <c r="K174" s="99" t="b">
        <v>1</v>
      </c>
      <c r="L174" s="95">
        <v>2014</v>
      </c>
      <c r="M174" s="96">
        <v>406374</v>
      </c>
      <c r="N174" s="100">
        <v>41152</v>
      </c>
      <c r="O174" s="100">
        <v>41152</v>
      </c>
    </row>
    <row r="175" spans="1:15" ht="14.25">
      <c r="A175" s="97">
        <v>2012</v>
      </c>
      <c r="B175" s="98" t="s">
        <v>236</v>
      </c>
      <c r="C175" s="98" t="s">
        <v>237</v>
      </c>
      <c r="D175" s="99">
        <v>1425062</v>
      </c>
      <c r="E175" s="99">
        <v>2</v>
      </c>
      <c r="F175" s="99"/>
      <c r="G175" s="99">
        <v>57</v>
      </c>
      <c r="H175" s="99">
        <v>30</v>
      </c>
      <c r="I175" s="99" t="s">
        <v>240</v>
      </c>
      <c r="J175" s="99" t="s">
        <v>155</v>
      </c>
      <c r="K175" s="99" t="b">
        <v>0</v>
      </c>
      <c r="L175" s="95">
        <v>2015</v>
      </c>
      <c r="M175" s="96">
        <v>1396900</v>
      </c>
      <c r="N175" s="100">
        <v>41152</v>
      </c>
      <c r="O175" s="100">
        <v>41152</v>
      </c>
    </row>
    <row r="176" spans="1:15" ht="14.25">
      <c r="A176" s="97">
        <v>2012</v>
      </c>
      <c r="B176" s="98" t="s">
        <v>236</v>
      </c>
      <c r="C176" s="98" t="s">
        <v>237</v>
      </c>
      <c r="D176" s="99">
        <v>1425062</v>
      </c>
      <c r="E176" s="99">
        <v>2</v>
      </c>
      <c r="F176" s="99"/>
      <c r="G176" s="99">
        <v>13</v>
      </c>
      <c r="H176" s="99" t="s">
        <v>116</v>
      </c>
      <c r="I176" s="99"/>
      <c r="J176" s="99" t="s">
        <v>117</v>
      </c>
      <c r="K176" s="99" t="b">
        <v>0</v>
      </c>
      <c r="L176" s="95">
        <v>2012</v>
      </c>
      <c r="M176" s="96">
        <v>147420</v>
      </c>
      <c r="N176" s="100">
        <v>41152</v>
      </c>
      <c r="O176" s="100">
        <v>41152</v>
      </c>
    </row>
    <row r="177" spans="1:15" ht="14.25">
      <c r="A177" s="97">
        <v>2012</v>
      </c>
      <c r="B177" s="98" t="s">
        <v>236</v>
      </c>
      <c r="C177" s="98" t="s">
        <v>237</v>
      </c>
      <c r="D177" s="99">
        <v>1425062</v>
      </c>
      <c r="E177" s="99">
        <v>2</v>
      </c>
      <c r="F177" s="99"/>
      <c r="G177" s="99">
        <v>43</v>
      </c>
      <c r="H177" s="99" t="s">
        <v>146</v>
      </c>
      <c r="I177" s="99" t="s">
        <v>253</v>
      </c>
      <c r="J177" s="99" t="s">
        <v>76</v>
      </c>
      <c r="K177" s="99" t="b">
        <v>0</v>
      </c>
      <c r="L177" s="95">
        <v>2016</v>
      </c>
      <c r="M177" s="96">
        <v>0.0592</v>
      </c>
      <c r="N177" s="100">
        <v>41152</v>
      </c>
      <c r="O177" s="100">
        <v>41152</v>
      </c>
    </row>
    <row r="178" spans="1:15" ht="14.25">
      <c r="A178" s="97">
        <v>2012</v>
      </c>
      <c r="B178" s="98" t="s">
        <v>236</v>
      </c>
      <c r="C178" s="98" t="s">
        <v>237</v>
      </c>
      <c r="D178" s="99">
        <v>1425062</v>
      </c>
      <c r="E178" s="99">
        <v>2</v>
      </c>
      <c r="F178" s="99"/>
      <c r="G178" s="99">
        <v>48</v>
      </c>
      <c r="H178" s="99">
        <v>22</v>
      </c>
      <c r="I178" s="99" t="s">
        <v>242</v>
      </c>
      <c r="J178" s="99" t="s">
        <v>79</v>
      </c>
      <c r="K178" s="99" t="b">
        <v>0</v>
      </c>
      <c r="L178" s="95">
        <v>2016</v>
      </c>
      <c r="M178" s="96">
        <v>0.0592</v>
      </c>
      <c r="N178" s="100">
        <v>41152</v>
      </c>
      <c r="O178" s="100">
        <v>41152</v>
      </c>
    </row>
    <row r="179" spans="1:15" ht="14.25">
      <c r="A179" s="97">
        <v>2012</v>
      </c>
      <c r="B179" s="98" t="s">
        <v>236</v>
      </c>
      <c r="C179" s="98" t="s">
        <v>237</v>
      </c>
      <c r="D179" s="99">
        <v>1425062</v>
      </c>
      <c r="E179" s="99">
        <v>2</v>
      </c>
      <c r="F179" s="99"/>
      <c r="G179" s="99">
        <v>48</v>
      </c>
      <c r="H179" s="99">
        <v>22</v>
      </c>
      <c r="I179" s="99" t="s">
        <v>242</v>
      </c>
      <c r="J179" s="99" t="s">
        <v>79</v>
      </c>
      <c r="K179" s="99" t="b">
        <v>0</v>
      </c>
      <c r="L179" s="95">
        <v>2014</v>
      </c>
      <c r="M179" s="96">
        <v>0.0434</v>
      </c>
      <c r="N179" s="100">
        <v>41152</v>
      </c>
      <c r="O179" s="100">
        <v>41152</v>
      </c>
    </row>
    <row r="180" spans="1:15" ht="14.25">
      <c r="A180" s="97">
        <v>2012</v>
      </c>
      <c r="B180" s="98" t="s">
        <v>236</v>
      </c>
      <c r="C180" s="98" t="s">
        <v>237</v>
      </c>
      <c r="D180" s="99">
        <v>1425062</v>
      </c>
      <c r="E180" s="99">
        <v>2</v>
      </c>
      <c r="F180" s="99"/>
      <c r="G180" s="99">
        <v>50</v>
      </c>
      <c r="H180" s="99">
        <v>23</v>
      </c>
      <c r="I180" s="99" t="s">
        <v>255</v>
      </c>
      <c r="J180" s="99" t="s">
        <v>151</v>
      </c>
      <c r="K180" s="99" t="b">
        <v>1</v>
      </c>
      <c r="L180" s="95">
        <v>2017</v>
      </c>
      <c r="M180" s="96">
        <v>32991479</v>
      </c>
      <c r="N180" s="100">
        <v>41152</v>
      </c>
      <c r="O180" s="100">
        <v>41152</v>
      </c>
    </row>
    <row r="181" spans="1:15" ht="14.25">
      <c r="A181" s="97">
        <v>2012</v>
      </c>
      <c r="B181" s="98" t="s">
        <v>236</v>
      </c>
      <c r="C181" s="98" t="s">
        <v>237</v>
      </c>
      <c r="D181" s="99">
        <v>1425062</v>
      </c>
      <c r="E181" s="99">
        <v>2</v>
      </c>
      <c r="F181" s="99"/>
      <c r="G181" s="99">
        <v>24</v>
      </c>
      <c r="H181" s="99" t="s">
        <v>130</v>
      </c>
      <c r="I181" s="99"/>
      <c r="J181" s="99" t="s">
        <v>131</v>
      </c>
      <c r="K181" s="99" t="b">
        <v>1</v>
      </c>
      <c r="L181" s="95">
        <v>2012</v>
      </c>
      <c r="M181" s="96">
        <v>600000</v>
      </c>
      <c r="N181" s="100">
        <v>41152</v>
      </c>
      <c r="O181" s="100">
        <v>41152</v>
      </c>
    </row>
    <row r="182" spans="1:15" ht="14.25">
      <c r="A182" s="97">
        <v>2012</v>
      </c>
      <c r="B182" s="98" t="s">
        <v>236</v>
      </c>
      <c r="C182" s="98" t="s">
        <v>237</v>
      </c>
      <c r="D182" s="99">
        <v>1425062</v>
      </c>
      <c r="E182" s="99">
        <v>2</v>
      </c>
      <c r="F182" s="99"/>
      <c r="G182" s="99">
        <v>48</v>
      </c>
      <c r="H182" s="99">
        <v>22</v>
      </c>
      <c r="I182" s="99" t="s">
        <v>242</v>
      </c>
      <c r="J182" s="99" t="s">
        <v>79</v>
      </c>
      <c r="K182" s="99" t="b">
        <v>0</v>
      </c>
      <c r="L182" s="95">
        <v>2019</v>
      </c>
      <c r="M182" s="96">
        <v>0.0734</v>
      </c>
      <c r="N182" s="100">
        <v>41152</v>
      </c>
      <c r="O182" s="100">
        <v>41152</v>
      </c>
    </row>
    <row r="183" spans="1:15" ht="14.25">
      <c r="A183" s="97">
        <v>2012</v>
      </c>
      <c r="B183" s="98" t="s">
        <v>236</v>
      </c>
      <c r="C183" s="98" t="s">
        <v>237</v>
      </c>
      <c r="D183" s="99">
        <v>1425062</v>
      </c>
      <c r="E183" s="99">
        <v>2</v>
      </c>
      <c r="F183" s="99"/>
      <c r="G183" s="99">
        <v>8</v>
      </c>
      <c r="H183" s="99" t="s">
        <v>106</v>
      </c>
      <c r="I183" s="99"/>
      <c r="J183" s="99" t="s">
        <v>107</v>
      </c>
      <c r="K183" s="99" t="b">
        <v>0</v>
      </c>
      <c r="L183" s="95">
        <v>2013</v>
      </c>
      <c r="M183" s="96">
        <v>15133162</v>
      </c>
      <c r="N183" s="100">
        <v>41152</v>
      </c>
      <c r="O183" s="100">
        <v>41152</v>
      </c>
    </row>
    <row r="184" spans="1:15" ht="14.25">
      <c r="A184" s="97">
        <v>2012</v>
      </c>
      <c r="B184" s="98" t="s">
        <v>236</v>
      </c>
      <c r="C184" s="98" t="s">
        <v>237</v>
      </c>
      <c r="D184" s="99">
        <v>1425062</v>
      </c>
      <c r="E184" s="99">
        <v>2</v>
      </c>
      <c r="F184" s="99"/>
      <c r="G184" s="99">
        <v>54</v>
      </c>
      <c r="H184" s="99">
        <v>27</v>
      </c>
      <c r="I184" s="99" t="s">
        <v>241</v>
      </c>
      <c r="J184" s="99" t="s">
        <v>46</v>
      </c>
      <c r="K184" s="99" t="b">
        <v>0</v>
      </c>
      <c r="L184" s="95">
        <v>2017</v>
      </c>
      <c r="M184" s="96">
        <v>31297479</v>
      </c>
      <c r="N184" s="100">
        <v>41152</v>
      </c>
      <c r="O184" s="100">
        <v>41152</v>
      </c>
    </row>
    <row r="185" spans="1:15" ht="14.25">
      <c r="A185" s="97">
        <v>2012</v>
      </c>
      <c r="B185" s="98" t="s">
        <v>236</v>
      </c>
      <c r="C185" s="98" t="s">
        <v>237</v>
      </c>
      <c r="D185" s="99">
        <v>1425062</v>
      </c>
      <c r="E185" s="99">
        <v>2</v>
      </c>
      <c r="F185" s="99"/>
      <c r="G185" s="99">
        <v>46</v>
      </c>
      <c r="H185" s="99">
        <v>21</v>
      </c>
      <c r="I185" s="99" t="s">
        <v>249</v>
      </c>
      <c r="J185" s="99" t="s">
        <v>54</v>
      </c>
      <c r="K185" s="99" t="b">
        <v>1</v>
      </c>
      <c r="L185" s="95">
        <v>2022</v>
      </c>
      <c r="M185" s="96">
        <v>0.0476</v>
      </c>
      <c r="N185" s="100">
        <v>41152</v>
      </c>
      <c r="O185" s="100">
        <v>41152</v>
      </c>
    </row>
    <row r="186" spans="1:15" ht="14.25">
      <c r="A186" s="97">
        <v>2012</v>
      </c>
      <c r="B186" s="98" t="s">
        <v>236</v>
      </c>
      <c r="C186" s="98" t="s">
        <v>237</v>
      </c>
      <c r="D186" s="99">
        <v>1425062</v>
      </c>
      <c r="E186" s="99">
        <v>2</v>
      </c>
      <c r="F186" s="99"/>
      <c r="G186" s="99">
        <v>27</v>
      </c>
      <c r="H186" s="99">
        <v>10</v>
      </c>
      <c r="I186" s="99"/>
      <c r="J186" s="99" t="s">
        <v>18</v>
      </c>
      <c r="K186" s="99" t="b">
        <v>0</v>
      </c>
      <c r="L186" s="95">
        <v>2017</v>
      </c>
      <c r="M186" s="96">
        <v>931238</v>
      </c>
      <c r="N186" s="100">
        <v>41152</v>
      </c>
      <c r="O186" s="100">
        <v>41152</v>
      </c>
    </row>
    <row r="187" spans="1:15" ht="14.25">
      <c r="A187" s="97">
        <v>2012</v>
      </c>
      <c r="B187" s="98" t="s">
        <v>236</v>
      </c>
      <c r="C187" s="98" t="s">
        <v>237</v>
      </c>
      <c r="D187" s="99">
        <v>1425062</v>
      </c>
      <c r="E187" s="99">
        <v>2</v>
      </c>
      <c r="F187" s="99"/>
      <c r="G187" s="99">
        <v>50</v>
      </c>
      <c r="H187" s="99">
        <v>23</v>
      </c>
      <c r="I187" s="99" t="s">
        <v>255</v>
      </c>
      <c r="J187" s="99" t="s">
        <v>151</v>
      </c>
      <c r="K187" s="99" t="b">
        <v>1</v>
      </c>
      <c r="L187" s="95">
        <v>2015</v>
      </c>
      <c r="M187" s="96">
        <v>31000274</v>
      </c>
      <c r="N187" s="100">
        <v>41152</v>
      </c>
      <c r="O187" s="100">
        <v>41152</v>
      </c>
    </row>
    <row r="188" spans="1:15" ht="14.25">
      <c r="A188" s="97">
        <v>2012</v>
      </c>
      <c r="B188" s="98" t="s">
        <v>236</v>
      </c>
      <c r="C188" s="98" t="s">
        <v>237</v>
      </c>
      <c r="D188" s="99">
        <v>1425062</v>
      </c>
      <c r="E188" s="99">
        <v>2</v>
      </c>
      <c r="F188" s="99"/>
      <c r="G188" s="99">
        <v>28</v>
      </c>
      <c r="H188" s="99" t="s">
        <v>134</v>
      </c>
      <c r="I188" s="99"/>
      <c r="J188" s="99" t="s">
        <v>135</v>
      </c>
      <c r="K188" s="99" t="b">
        <v>0</v>
      </c>
      <c r="L188" s="95">
        <v>2012</v>
      </c>
      <c r="M188" s="96">
        <v>3595000</v>
      </c>
      <c r="N188" s="100">
        <v>41152</v>
      </c>
      <c r="O188" s="100">
        <v>41152</v>
      </c>
    </row>
    <row r="189" spans="1:15" ht="14.25">
      <c r="A189" s="97">
        <v>2012</v>
      </c>
      <c r="B189" s="98" t="s">
        <v>236</v>
      </c>
      <c r="C189" s="98" t="s">
        <v>237</v>
      </c>
      <c r="D189" s="99">
        <v>1425062</v>
      </c>
      <c r="E189" s="99">
        <v>2</v>
      </c>
      <c r="F189" s="99"/>
      <c r="G189" s="99">
        <v>26</v>
      </c>
      <c r="H189" s="99">
        <v>9</v>
      </c>
      <c r="I189" s="99" t="s">
        <v>260</v>
      </c>
      <c r="J189" s="99" t="s">
        <v>133</v>
      </c>
      <c r="K189" s="99" t="b">
        <v>0</v>
      </c>
      <c r="L189" s="95">
        <v>2014</v>
      </c>
      <c r="M189" s="96">
        <v>2661626</v>
      </c>
      <c r="N189" s="100">
        <v>41152</v>
      </c>
      <c r="O189" s="100">
        <v>41152</v>
      </c>
    </row>
    <row r="190" spans="1:15" ht="14.25">
      <c r="A190" s="97">
        <v>2012</v>
      </c>
      <c r="B190" s="98" t="s">
        <v>236</v>
      </c>
      <c r="C190" s="98" t="s">
        <v>237</v>
      </c>
      <c r="D190" s="99">
        <v>1425062</v>
      </c>
      <c r="E190" s="99">
        <v>2</v>
      </c>
      <c r="F190" s="99"/>
      <c r="G190" s="99">
        <v>50</v>
      </c>
      <c r="H190" s="99">
        <v>23</v>
      </c>
      <c r="I190" s="99" t="s">
        <v>255</v>
      </c>
      <c r="J190" s="99" t="s">
        <v>151</v>
      </c>
      <c r="K190" s="99" t="b">
        <v>1</v>
      </c>
      <c r="L190" s="95">
        <v>2020</v>
      </c>
      <c r="M190" s="96">
        <v>35241407</v>
      </c>
      <c r="N190" s="100">
        <v>41152</v>
      </c>
      <c r="O190" s="100">
        <v>41152</v>
      </c>
    </row>
    <row r="191" spans="1:15" ht="14.25">
      <c r="A191" s="97">
        <v>2012</v>
      </c>
      <c r="B191" s="98" t="s">
        <v>236</v>
      </c>
      <c r="C191" s="98" t="s">
        <v>237</v>
      </c>
      <c r="D191" s="99">
        <v>1425062</v>
      </c>
      <c r="E191" s="99">
        <v>2</v>
      </c>
      <c r="F191" s="99"/>
      <c r="G191" s="99">
        <v>52</v>
      </c>
      <c r="H191" s="99">
        <v>25</v>
      </c>
      <c r="I191" s="99" t="s">
        <v>254</v>
      </c>
      <c r="J191" s="99" t="s">
        <v>49</v>
      </c>
      <c r="K191" s="99" t="b">
        <v>1</v>
      </c>
      <c r="L191" s="95">
        <v>2020</v>
      </c>
      <c r="M191" s="96">
        <v>2110059</v>
      </c>
      <c r="N191" s="100">
        <v>41152</v>
      </c>
      <c r="O191" s="100">
        <v>41152</v>
      </c>
    </row>
    <row r="192" spans="1:15" ht="14.25">
      <c r="A192" s="97">
        <v>2012</v>
      </c>
      <c r="B192" s="98" t="s">
        <v>236</v>
      </c>
      <c r="C192" s="98" t="s">
        <v>237</v>
      </c>
      <c r="D192" s="99">
        <v>1425062</v>
      </c>
      <c r="E192" s="99">
        <v>2</v>
      </c>
      <c r="F192" s="99"/>
      <c r="G192" s="99">
        <v>19</v>
      </c>
      <c r="H192" s="99">
        <v>6</v>
      </c>
      <c r="I192" s="99" t="s">
        <v>251</v>
      </c>
      <c r="J192" s="99" t="s">
        <v>123</v>
      </c>
      <c r="K192" s="99" t="b">
        <v>0</v>
      </c>
      <c r="L192" s="95">
        <v>2013</v>
      </c>
      <c r="M192" s="96">
        <v>4418600</v>
      </c>
      <c r="N192" s="100">
        <v>41152</v>
      </c>
      <c r="O192" s="100">
        <v>41152</v>
      </c>
    </row>
    <row r="193" spans="1:15" ht="14.25">
      <c r="A193" s="97">
        <v>2012</v>
      </c>
      <c r="B193" s="98" t="s">
        <v>236</v>
      </c>
      <c r="C193" s="98" t="s">
        <v>237</v>
      </c>
      <c r="D193" s="99">
        <v>1425062</v>
      </c>
      <c r="E193" s="99">
        <v>2</v>
      </c>
      <c r="F193" s="99"/>
      <c r="G193" s="99">
        <v>4</v>
      </c>
      <c r="H193" s="99" t="s">
        <v>100</v>
      </c>
      <c r="I193" s="99"/>
      <c r="J193" s="99" t="s">
        <v>101</v>
      </c>
      <c r="K193" s="99" t="b">
        <v>1</v>
      </c>
      <c r="L193" s="95">
        <v>2013</v>
      </c>
      <c r="M193" s="96">
        <v>1515000</v>
      </c>
      <c r="N193" s="100">
        <v>41152</v>
      </c>
      <c r="O193" s="100">
        <v>41152</v>
      </c>
    </row>
    <row r="194" spans="1:15" ht="14.25">
      <c r="A194" s="97">
        <v>2012</v>
      </c>
      <c r="B194" s="98" t="s">
        <v>236</v>
      </c>
      <c r="C194" s="98" t="s">
        <v>237</v>
      </c>
      <c r="D194" s="99">
        <v>1425062</v>
      </c>
      <c r="E194" s="99">
        <v>2</v>
      </c>
      <c r="F194" s="99"/>
      <c r="G194" s="99">
        <v>1</v>
      </c>
      <c r="H194" s="99">
        <v>1</v>
      </c>
      <c r="I194" s="99" t="s">
        <v>252</v>
      </c>
      <c r="J194" s="99" t="s">
        <v>95</v>
      </c>
      <c r="K194" s="99" t="b">
        <v>1</v>
      </c>
      <c r="L194" s="95">
        <v>2022</v>
      </c>
      <c r="M194" s="96">
        <v>38130238</v>
      </c>
      <c r="N194" s="100">
        <v>41152</v>
      </c>
      <c r="O194" s="100">
        <v>41152</v>
      </c>
    </row>
    <row r="195" spans="1:15" ht="14.25">
      <c r="A195" s="97">
        <v>2012</v>
      </c>
      <c r="B195" s="98" t="s">
        <v>236</v>
      </c>
      <c r="C195" s="98" t="s">
        <v>237</v>
      </c>
      <c r="D195" s="99">
        <v>1425062</v>
      </c>
      <c r="E195" s="99">
        <v>2</v>
      </c>
      <c r="F195" s="99"/>
      <c r="G195" s="99">
        <v>46</v>
      </c>
      <c r="H195" s="99">
        <v>21</v>
      </c>
      <c r="I195" s="99" t="s">
        <v>249</v>
      </c>
      <c r="J195" s="99" t="s">
        <v>54</v>
      </c>
      <c r="K195" s="99" t="b">
        <v>1</v>
      </c>
      <c r="L195" s="95">
        <v>2012</v>
      </c>
      <c r="M195" s="96">
        <v>0.1176</v>
      </c>
      <c r="N195" s="100">
        <v>41152</v>
      </c>
      <c r="O195" s="100">
        <v>41152</v>
      </c>
    </row>
    <row r="196" spans="1:15" ht="14.25">
      <c r="A196" s="97">
        <v>2012</v>
      </c>
      <c r="B196" s="98" t="s">
        <v>236</v>
      </c>
      <c r="C196" s="98" t="s">
        <v>237</v>
      </c>
      <c r="D196" s="99">
        <v>1425062</v>
      </c>
      <c r="E196" s="99">
        <v>2</v>
      </c>
      <c r="F196" s="99"/>
      <c r="G196" s="99">
        <v>50</v>
      </c>
      <c r="H196" s="99">
        <v>23</v>
      </c>
      <c r="I196" s="99" t="s">
        <v>255</v>
      </c>
      <c r="J196" s="99" t="s">
        <v>151</v>
      </c>
      <c r="K196" s="99" t="b">
        <v>1</v>
      </c>
      <c r="L196" s="95">
        <v>2018</v>
      </c>
      <c r="M196" s="96">
        <v>33878223</v>
      </c>
      <c r="N196" s="100">
        <v>41152</v>
      </c>
      <c r="O196" s="100">
        <v>41152</v>
      </c>
    </row>
    <row r="197" spans="1:15" ht="14.25">
      <c r="A197" s="97">
        <v>2012</v>
      </c>
      <c r="B197" s="98" t="s">
        <v>236</v>
      </c>
      <c r="C197" s="98" t="s">
        <v>237</v>
      </c>
      <c r="D197" s="99">
        <v>1425062</v>
      </c>
      <c r="E197" s="99">
        <v>2</v>
      </c>
      <c r="F197" s="99"/>
      <c r="G197" s="99">
        <v>23</v>
      </c>
      <c r="H197" s="99" t="s">
        <v>128</v>
      </c>
      <c r="I197" s="99"/>
      <c r="J197" s="99" t="s">
        <v>129</v>
      </c>
      <c r="K197" s="99" t="b">
        <v>1</v>
      </c>
      <c r="L197" s="95">
        <v>2014</v>
      </c>
      <c r="M197" s="96">
        <v>610000</v>
      </c>
      <c r="N197" s="100">
        <v>41152</v>
      </c>
      <c r="O197" s="100">
        <v>41152</v>
      </c>
    </row>
    <row r="198" spans="1:15" ht="14.25">
      <c r="A198" s="97">
        <v>2012</v>
      </c>
      <c r="B198" s="98" t="s">
        <v>236</v>
      </c>
      <c r="C198" s="98" t="s">
        <v>237</v>
      </c>
      <c r="D198" s="99">
        <v>1425062</v>
      </c>
      <c r="E198" s="99">
        <v>2</v>
      </c>
      <c r="F198" s="99"/>
      <c r="G198" s="99">
        <v>45</v>
      </c>
      <c r="H198" s="99" t="s">
        <v>148</v>
      </c>
      <c r="I198" s="99" t="s">
        <v>238</v>
      </c>
      <c r="J198" s="99" t="s">
        <v>53</v>
      </c>
      <c r="K198" s="99" t="b">
        <v>0</v>
      </c>
      <c r="L198" s="95">
        <v>2015</v>
      </c>
      <c r="M198" s="96">
        <v>0.0607</v>
      </c>
      <c r="N198" s="100">
        <v>41152</v>
      </c>
      <c r="O198" s="100">
        <v>41152</v>
      </c>
    </row>
    <row r="199" spans="1:15" ht="14.25">
      <c r="A199" s="97">
        <v>2012</v>
      </c>
      <c r="B199" s="98" t="s">
        <v>236</v>
      </c>
      <c r="C199" s="98" t="s">
        <v>237</v>
      </c>
      <c r="D199" s="99">
        <v>1425062</v>
      </c>
      <c r="E199" s="99">
        <v>2</v>
      </c>
      <c r="F199" s="99"/>
      <c r="G199" s="99">
        <v>21</v>
      </c>
      <c r="H199" s="99" t="s">
        <v>124</v>
      </c>
      <c r="I199" s="99"/>
      <c r="J199" s="99" t="s">
        <v>125</v>
      </c>
      <c r="K199" s="99" t="b">
        <v>1</v>
      </c>
      <c r="L199" s="95">
        <v>2019</v>
      </c>
      <c r="M199" s="96">
        <v>2450000</v>
      </c>
      <c r="N199" s="100">
        <v>41152</v>
      </c>
      <c r="O199" s="100">
        <v>41152</v>
      </c>
    </row>
    <row r="200" spans="1:15" ht="14.25">
      <c r="A200" s="97">
        <v>2012</v>
      </c>
      <c r="B200" s="98" t="s">
        <v>236</v>
      </c>
      <c r="C200" s="98" t="s">
        <v>237</v>
      </c>
      <c r="D200" s="99">
        <v>1425062</v>
      </c>
      <c r="E200" s="99">
        <v>2</v>
      </c>
      <c r="F200" s="99"/>
      <c r="G200" s="99">
        <v>57</v>
      </c>
      <c r="H200" s="99">
        <v>30</v>
      </c>
      <c r="I200" s="99" t="s">
        <v>240</v>
      </c>
      <c r="J200" s="99" t="s">
        <v>155</v>
      </c>
      <c r="K200" s="99" t="b">
        <v>0</v>
      </c>
      <c r="L200" s="95">
        <v>2021</v>
      </c>
      <c r="M200" s="96">
        <v>2566576</v>
      </c>
      <c r="N200" s="100">
        <v>41152</v>
      </c>
      <c r="O200" s="100">
        <v>41152</v>
      </c>
    </row>
    <row r="201" spans="1:15" ht="14.25">
      <c r="A201" s="97">
        <v>2012</v>
      </c>
      <c r="B201" s="98" t="s">
        <v>236</v>
      </c>
      <c r="C201" s="98" t="s">
        <v>237</v>
      </c>
      <c r="D201" s="99">
        <v>1425062</v>
      </c>
      <c r="E201" s="99">
        <v>2</v>
      </c>
      <c r="F201" s="99"/>
      <c r="G201" s="99">
        <v>2</v>
      </c>
      <c r="H201" s="99" t="s">
        <v>96</v>
      </c>
      <c r="I201" s="99"/>
      <c r="J201" s="99" t="s">
        <v>97</v>
      </c>
      <c r="K201" s="99" t="b">
        <v>1</v>
      </c>
      <c r="L201" s="95">
        <v>2022</v>
      </c>
      <c r="M201" s="96">
        <v>38130238</v>
      </c>
      <c r="N201" s="100">
        <v>41152</v>
      </c>
      <c r="O201" s="100">
        <v>41152</v>
      </c>
    </row>
    <row r="202" spans="1:15" ht="14.25">
      <c r="A202" s="97">
        <v>2012</v>
      </c>
      <c r="B202" s="98" t="s">
        <v>236</v>
      </c>
      <c r="C202" s="98" t="s">
        <v>237</v>
      </c>
      <c r="D202" s="99">
        <v>1425062</v>
      </c>
      <c r="E202" s="99">
        <v>2</v>
      </c>
      <c r="F202" s="99"/>
      <c r="G202" s="99">
        <v>49</v>
      </c>
      <c r="H202" s="99" t="s">
        <v>150</v>
      </c>
      <c r="I202" s="99" t="s">
        <v>248</v>
      </c>
      <c r="J202" s="99" t="s">
        <v>81</v>
      </c>
      <c r="K202" s="99" t="b">
        <v>0</v>
      </c>
      <c r="L202" s="95">
        <v>2020</v>
      </c>
      <c r="M202" s="96">
        <v>637</v>
      </c>
      <c r="N202" s="100">
        <v>41152</v>
      </c>
      <c r="O202" s="100">
        <v>41152</v>
      </c>
    </row>
    <row r="203" spans="1:15" ht="14.25">
      <c r="A203" s="97">
        <v>2012</v>
      </c>
      <c r="B203" s="98" t="s">
        <v>236</v>
      </c>
      <c r="C203" s="98" t="s">
        <v>237</v>
      </c>
      <c r="D203" s="99">
        <v>1425062</v>
      </c>
      <c r="E203" s="99">
        <v>2</v>
      </c>
      <c r="F203" s="99"/>
      <c r="G203" s="99">
        <v>56</v>
      </c>
      <c r="H203" s="99">
        <v>29</v>
      </c>
      <c r="I203" s="99" t="s">
        <v>250</v>
      </c>
      <c r="J203" s="99" t="s">
        <v>154</v>
      </c>
      <c r="K203" s="99" t="b">
        <v>0</v>
      </c>
      <c r="L203" s="95">
        <v>2014</v>
      </c>
      <c r="M203" s="96">
        <v>406374</v>
      </c>
      <c r="N203" s="100">
        <v>41152</v>
      </c>
      <c r="O203" s="100">
        <v>41152</v>
      </c>
    </row>
    <row r="204" spans="1:15" ht="14.25">
      <c r="A204" s="97">
        <v>2012</v>
      </c>
      <c r="B204" s="98" t="s">
        <v>236</v>
      </c>
      <c r="C204" s="98" t="s">
        <v>237</v>
      </c>
      <c r="D204" s="99">
        <v>1425062</v>
      </c>
      <c r="E204" s="99">
        <v>2</v>
      </c>
      <c r="F204" s="99"/>
      <c r="G204" s="99">
        <v>55</v>
      </c>
      <c r="H204" s="99">
        <v>28</v>
      </c>
      <c r="I204" s="99" t="s">
        <v>257</v>
      </c>
      <c r="J204" s="99" t="s">
        <v>48</v>
      </c>
      <c r="K204" s="99" t="b">
        <v>0</v>
      </c>
      <c r="L204" s="95">
        <v>2019</v>
      </c>
      <c r="M204" s="96">
        <v>2450000</v>
      </c>
      <c r="N204" s="100">
        <v>41152</v>
      </c>
      <c r="O204" s="100">
        <v>41152</v>
      </c>
    </row>
    <row r="205" spans="1:15" ht="14.25">
      <c r="A205" s="97">
        <v>2012</v>
      </c>
      <c r="B205" s="98" t="s">
        <v>236</v>
      </c>
      <c r="C205" s="98" t="s">
        <v>237</v>
      </c>
      <c r="D205" s="99">
        <v>1425062</v>
      </c>
      <c r="E205" s="99">
        <v>2</v>
      </c>
      <c r="F205" s="99"/>
      <c r="G205" s="99">
        <v>9</v>
      </c>
      <c r="H205" s="99" t="s">
        <v>108</v>
      </c>
      <c r="I205" s="99"/>
      <c r="J205" s="99" t="s">
        <v>109</v>
      </c>
      <c r="K205" s="99" t="b">
        <v>0</v>
      </c>
      <c r="L205" s="95">
        <v>2012</v>
      </c>
      <c r="M205" s="96">
        <v>2954061</v>
      </c>
      <c r="N205" s="100">
        <v>41152</v>
      </c>
      <c r="O205" s="100">
        <v>41152</v>
      </c>
    </row>
    <row r="206" spans="1:15" ht="14.25">
      <c r="A206" s="97">
        <v>2012</v>
      </c>
      <c r="B206" s="98" t="s">
        <v>236</v>
      </c>
      <c r="C206" s="98" t="s">
        <v>237</v>
      </c>
      <c r="D206" s="99">
        <v>1425062</v>
      </c>
      <c r="E206" s="99">
        <v>2</v>
      </c>
      <c r="F206" s="99"/>
      <c r="G206" s="99">
        <v>21</v>
      </c>
      <c r="H206" s="99" t="s">
        <v>124</v>
      </c>
      <c r="I206" s="99"/>
      <c r="J206" s="99" t="s">
        <v>125</v>
      </c>
      <c r="K206" s="99" t="b">
        <v>1</v>
      </c>
      <c r="L206" s="95">
        <v>2021</v>
      </c>
      <c r="M206" s="96">
        <v>2566576</v>
      </c>
      <c r="N206" s="100">
        <v>41152</v>
      </c>
      <c r="O206" s="100">
        <v>41152</v>
      </c>
    </row>
    <row r="207" spans="1:15" ht="14.25">
      <c r="A207" s="97">
        <v>2012</v>
      </c>
      <c r="B207" s="98" t="s">
        <v>236</v>
      </c>
      <c r="C207" s="98" t="s">
        <v>237</v>
      </c>
      <c r="D207" s="99">
        <v>1425062</v>
      </c>
      <c r="E207" s="99">
        <v>2</v>
      </c>
      <c r="F207" s="99"/>
      <c r="G207" s="99">
        <v>14</v>
      </c>
      <c r="H207" s="99">
        <v>3</v>
      </c>
      <c r="I207" s="99" t="s">
        <v>243</v>
      </c>
      <c r="J207" s="99" t="s">
        <v>118</v>
      </c>
      <c r="K207" s="99" t="b">
        <v>1</v>
      </c>
      <c r="L207" s="95">
        <v>2019</v>
      </c>
      <c r="M207" s="96">
        <v>3412279</v>
      </c>
      <c r="N207" s="100">
        <v>41152</v>
      </c>
      <c r="O207" s="100">
        <v>41152</v>
      </c>
    </row>
    <row r="208" spans="1:15" ht="14.25">
      <c r="A208" s="97">
        <v>2012</v>
      </c>
      <c r="B208" s="98" t="s">
        <v>236</v>
      </c>
      <c r="C208" s="98" t="s">
        <v>237</v>
      </c>
      <c r="D208" s="99">
        <v>1425062</v>
      </c>
      <c r="E208" s="99">
        <v>2</v>
      </c>
      <c r="F208" s="99"/>
      <c r="G208" s="99">
        <v>37</v>
      </c>
      <c r="H208" s="99">
        <v>16</v>
      </c>
      <c r="I208" s="99"/>
      <c r="J208" s="99" t="s">
        <v>142</v>
      </c>
      <c r="K208" s="99" t="b">
        <v>1</v>
      </c>
      <c r="L208" s="95">
        <v>2015</v>
      </c>
      <c r="M208" s="96">
        <v>411266</v>
      </c>
      <c r="N208" s="100">
        <v>41152</v>
      </c>
      <c r="O208" s="100">
        <v>41152</v>
      </c>
    </row>
    <row r="209" spans="1:15" ht="14.25">
      <c r="A209" s="97">
        <v>2012</v>
      </c>
      <c r="B209" s="98" t="s">
        <v>236</v>
      </c>
      <c r="C209" s="98" t="s">
        <v>237</v>
      </c>
      <c r="D209" s="99">
        <v>1425062</v>
      </c>
      <c r="E209" s="99">
        <v>2</v>
      </c>
      <c r="F209" s="99"/>
      <c r="G209" s="99">
        <v>50</v>
      </c>
      <c r="H209" s="99">
        <v>23</v>
      </c>
      <c r="I209" s="99" t="s">
        <v>255</v>
      </c>
      <c r="J209" s="99" t="s">
        <v>151</v>
      </c>
      <c r="K209" s="99" t="b">
        <v>1</v>
      </c>
      <c r="L209" s="95">
        <v>2013</v>
      </c>
      <c r="M209" s="96">
        <v>29768833</v>
      </c>
      <c r="N209" s="100">
        <v>41152</v>
      </c>
      <c r="O209" s="100">
        <v>41152</v>
      </c>
    </row>
    <row r="210" spans="1:15" ht="14.25">
      <c r="A210" s="97">
        <v>2012</v>
      </c>
      <c r="B210" s="98" t="s">
        <v>236</v>
      </c>
      <c r="C210" s="98" t="s">
        <v>237</v>
      </c>
      <c r="D210" s="99">
        <v>1425062</v>
      </c>
      <c r="E210" s="99">
        <v>2</v>
      </c>
      <c r="F210" s="99"/>
      <c r="G210" s="99">
        <v>51</v>
      </c>
      <c r="H210" s="99">
        <v>24</v>
      </c>
      <c r="I210" s="99" t="s">
        <v>246</v>
      </c>
      <c r="J210" s="99" t="s">
        <v>152</v>
      </c>
      <c r="K210" s="99" t="b">
        <v>1</v>
      </c>
      <c r="L210" s="95">
        <v>2016</v>
      </c>
      <c r="M210" s="96">
        <v>29788344</v>
      </c>
      <c r="N210" s="100">
        <v>41152</v>
      </c>
      <c r="O210" s="100">
        <v>41152</v>
      </c>
    </row>
    <row r="211" spans="1:15" ht="14.25">
      <c r="A211" s="97">
        <v>2012</v>
      </c>
      <c r="B211" s="98" t="s">
        <v>236</v>
      </c>
      <c r="C211" s="98" t="s">
        <v>237</v>
      </c>
      <c r="D211" s="99">
        <v>1425062</v>
      </c>
      <c r="E211" s="99">
        <v>2</v>
      </c>
      <c r="F211" s="99"/>
      <c r="G211" s="99">
        <v>24</v>
      </c>
      <c r="H211" s="99" t="s">
        <v>130</v>
      </c>
      <c r="I211" s="99"/>
      <c r="J211" s="99" t="s">
        <v>131</v>
      </c>
      <c r="K211" s="99" t="b">
        <v>1</v>
      </c>
      <c r="L211" s="95">
        <v>2017</v>
      </c>
      <c r="M211" s="96">
        <v>350000</v>
      </c>
      <c r="N211" s="100">
        <v>41152</v>
      </c>
      <c r="O211" s="100">
        <v>41152</v>
      </c>
    </row>
    <row r="212" spans="1:15" ht="14.25">
      <c r="A212" s="97">
        <v>2012</v>
      </c>
      <c r="B212" s="98" t="s">
        <v>236</v>
      </c>
      <c r="C212" s="98" t="s">
        <v>237</v>
      </c>
      <c r="D212" s="99">
        <v>1425062</v>
      </c>
      <c r="E212" s="99">
        <v>2</v>
      </c>
      <c r="F212" s="99"/>
      <c r="G212" s="99">
        <v>51</v>
      </c>
      <c r="H212" s="99">
        <v>24</v>
      </c>
      <c r="I212" s="99" t="s">
        <v>246</v>
      </c>
      <c r="J212" s="99" t="s">
        <v>152</v>
      </c>
      <c r="K212" s="99" t="b">
        <v>1</v>
      </c>
      <c r="L212" s="95">
        <v>2014</v>
      </c>
      <c r="M212" s="96">
        <v>28351737</v>
      </c>
      <c r="N212" s="100">
        <v>41152</v>
      </c>
      <c r="O212" s="100">
        <v>41152</v>
      </c>
    </row>
    <row r="213" spans="1:15" ht="14.25">
      <c r="A213" s="97">
        <v>2012</v>
      </c>
      <c r="B213" s="98" t="s">
        <v>236</v>
      </c>
      <c r="C213" s="98" t="s">
        <v>237</v>
      </c>
      <c r="D213" s="99">
        <v>1425062</v>
      </c>
      <c r="E213" s="99">
        <v>2</v>
      </c>
      <c r="F213" s="99"/>
      <c r="G213" s="99">
        <v>7</v>
      </c>
      <c r="H213" s="99">
        <v>2</v>
      </c>
      <c r="I213" s="99"/>
      <c r="J213" s="99" t="s">
        <v>3</v>
      </c>
      <c r="K213" s="99" t="b">
        <v>1</v>
      </c>
      <c r="L213" s="95">
        <v>2020</v>
      </c>
      <c r="M213" s="96">
        <v>32914948</v>
      </c>
      <c r="N213" s="100">
        <v>41152</v>
      </c>
      <c r="O213" s="100">
        <v>41152</v>
      </c>
    </row>
    <row r="214" spans="1:15" ht="14.25">
      <c r="A214" s="97">
        <v>2012</v>
      </c>
      <c r="B214" s="98" t="s">
        <v>236</v>
      </c>
      <c r="C214" s="98" t="s">
        <v>237</v>
      </c>
      <c r="D214" s="99">
        <v>1425062</v>
      </c>
      <c r="E214" s="99">
        <v>2</v>
      </c>
      <c r="F214" s="99"/>
      <c r="G214" s="99">
        <v>42</v>
      </c>
      <c r="H214" s="99">
        <v>19</v>
      </c>
      <c r="I214" s="99" t="s">
        <v>247</v>
      </c>
      <c r="J214" s="99" t="s">
        <v>74</v>
      </c>
      <c r="K214" s="99" t="b">
        <v>1</v>
      </c>
      <c r="L214" s="95">
        <v>2015</v>
      </c>
      <c r="M214" s="96">
        <v>0.0593</v>
      </c>
      <c r="N214" s="100">
        <v>41152</v>
      </c>
      <c r="O214" s="100">
        <v>41152</v>
      </c>
    </row>
    <row r="215" spans="1:15" ht="14.25">
      <c r="A215" s="97">
        <v>2012</v>
      </c>
      <c r="B215" s="98" t="s">
        <v>236</v>
      </c>
      <c r="C215" s="98" t="s">
        <v>237</v>
      </c>
      <c r="D215" s="99">
        <v>1425062</v>
      </c>
      <c r="E215" s="99">
        <v>2</v>
      </c>
      <c r="F215" s="99"/>
      <c r="G215" s="99">
        <v>28</v>
      </c>
      <c r="H215" s="99" t="s">
        <v>134</v>
      </c>
      <c r="I215" s="99"/>
      <c r="J215" s="99" t="s">
        <v>135</v>
      </c>
      <c r="K215" s="99" t="b">
        <v>0</v>
      </c>
      <c r="L215" s="95">
        <v>2013</v>
      </c>
      <c r="M215" s="96">
        <v>3068000</v>
      </c>
      <c r="N215" s="100">
        <v>41152</v>
      </c>
      <c r="O215" s="100">
        <v>41152</v>
      </c>
    </row>
    <row r="216" spans="1:15" ht="14.25">
      <c r="A216" s="97">
        <v>2012</v>
      </c>
      <c r="B216" s="98" t="s">
        <v>236</v>
      </c>
      <c r="C216" s="98" t="s">
        <v>237</v>
      </c>
      <c r="D216" s="99">
        <v>1425062</v>
      </c>
      <c r="E216" s="99">
        <v>2</v>
      </c>
      <c r="F216" s="99"/>
      <c r="G216" s="99">
        <v>26</v>
      </c>
      <c r="H216" s="99">
        <v>9</v>
      </c>
      <c r="I216" s="99" t="s">
        <v>260</v>
      </c>
      <c r="J216" s="99" t="s">
        <v>133</v>
      </c>
      <c r="K216" s="99" t="b">
        <v>0</v>
      </c>
      <c r="L216" s="95">
        <v>2016</v>
      </c>
      <c r="M216" s="96">
        <v>2310444</v>
      </c>
      <c r="N216" s="100">
        <v>41152</v>
      </c>
      <c r="O216" s="100">
        <v>41152</v>
      </c>
    </row>
    <row r="217" spans="1:15" ht="14.25">
      <c r="A217" s="97">
        <v>2012</v>
      </c>
      <c r="B217" s="98" t="s">
        <v>236</v>
      </c>
      <c r="C217" s="98" t="s">
        <v>237</v>
      </c>
      <c r="D217" s="99">
        <v>1425062</v>
      </c>
      <c r="E217" s="99">
        <v>2</v>
      </c>
      <c r="F217" s="99"/>
      <c r="G217" s="99">
        <v>33</v>
      </c>
      <c r="H217" s="99">
        <v>13</v>
      </c>
      <c r="I217" s="99"/>
      <c r="J217" s="99" t="s">
        <v>68</v>
      </c>
      <c r="K217" s="99" t="b">
        <v>1</v>
      </c>
      <c r="L217" s="95">
        <v>2015</v>
      </c>
      <c r="M217" s="96">
        <v>11292508</v>
      </c>
      <c r="N217" s="100">
        <v>41152</v>
      </c>
      <c r="O217" s="100">
        <v>41152</v>
      </c>
    </row>
    <row r="218" spans="1:15" ht="14.25">
      <c r="A218" s="97">
        <v>2012</v>
      </c>
      <c r="B218" s="98" t="s">
        <v>236</v>
      </c>
      <c r="C218" s="98" t="s">
        <v>237</v>
      </c>
      <c r="D218" s="99">
        <v>1425062</v>
      </c>
      <c r="E218" s="99">
        <v>2</v>
      </c>
      <c r="F218" s="99"/>
      <c r="G218" s="99">
        <v>49</v>
      </c>
      <c r="H218" s="99" t="s">
        <v>150</v>
      </c>
      <c r="I218" s="99" t="s">
        <v>248</v>
      </c>
      <c r="J218" s="99" t="s">
        <v>81</v>
      </c>
      <c r="K218" s="99" t="b">
        <v>0</v>
      </c>
      <c r="L218" s="95">
        <v>2016</v>
      </c>
      <c r="M218" s="96">
        <v>44</v>
      </c>
      <c r="N218" s="100">
        <v>41152</v>
      </c>
      <c r="O218" s="100">
        <v>41152</v>
      </c>
    </row>
    <row r="219" spans="1:15" ht="14.25">
      <c r="A219" s="97">
        <v>2012</v>
      </c>
      <c r="B219" s="98" t="s">
        <v>236</v>
      </c>
      <c r="C219" s="98" t="s">
        <v>237</v>
      </c>
      <c r="D219" s="99">
        <v>1425062</v>
      </c>
      <c r="E219" s="99">
        <v>2</v>
      </c>
      <c r="F219" s="99"/>
      <c r="G219" s="99">
        <v>54</v>
      </c>
      <c r="H219" s="99">
        <v>27</v>
      </c>
      <c r="I219" s="99" t="s">
        <v>241</v>
      </c>
      <c r="J219" s="99" t="s">
        <v>46</v>
      </c>
      <c r="K219" s="99" t="b">
        <v>0</v>
      </c>
      <c r="L219" s="95">
        <v>2012</v>
      </c>
      <c r="M219" s="96">
        <v>32490277.19</v>
      </c>
      <c r="N219" s="100">
        <v>41152</v>
      </c>
      <c r="O219" s="100">
        <v>41152</v>
      </c>
    </row>
    <row r="220" spans="1:15" ht="14.25">
      <c r="A220" s="97">
        <v>2012</v>
      </c>
      <c r="B220" s="98" t="s">
        <v>236</v>
      </c>
      <c r="C220" s="98" t="s">
        <v>237</v>
      </c>
      <c r="D220" s="99">
        <v>1425062</v>
      </c>
      <c r="E220" s="99">
        <v>2</v>
      </c>
      <c r="F220" s="99"/>
      <c r="G220" s="99">
        <v>9</v>
      </c>
      <c r="H220" s="99" t="s">
        <v>108</v>
      </c>
      <c r="I220" s="99"/>
      <c r="J220" s="99" t="s">
        <v>109</v>
      </c>
      <c r="K220" s="99" t="b">
        <v>0</v>
      </c>
      <c r="L220" s="95">
        <v>2019</v>
      </c>
      <c r="M220" s="96">
        <v>3520252</v>
      </c>
      <c r="N220" s="100">
        <v>41152</v>
      </c>
      <c r="O220" s="100">
        <v>41152</v>
      </c>
    </row>
    <row r="221" spans="1:15" ht="14.25">
      <c r="A221" s="97">
        <v>2012</v>
      </c>
      <c r="B221" s="98" t="s">
        <v>236</v>
      </c>
      <c r="C221" s="98" t="s">
        <v>237</v>
      </c>
      <c r="D221" s="99">
        <v>1425062</v>
      </c>
      <c r="E221" s="99">
        <v>2</v>
      </c>
      <c r="F221" s="99"/>
      <c r="G221" s="99">
        <v>50</v>
      </c>
      <c r="H221" s="99">
        <v>23</v>
      </c>
      <c r="I221" s="99" t="s">
        <v>255</v>
      </c>
      <c r="J221" s="99" t="s">
        <v>151</v>
      </c>
      <c r="K221" s="99" t="b">
        <v>1</v>
      </c>
      <c r="L221" s="95">
        <v>2014</v>
      </c>
      <c r="M221" s="96">
        <v>30279363</v>
      </c>
      <c r="N221" s="100">
        <v>41152</v>
      </c>
      <c r="O221" s="100">
        <v>41152</v>
      </c>
    </row>
    <row r="222" spans="1:15" ht="14.25">
      <c r="A222" s="97">
        <v>2012</v>
      </c>
      <c r="B222" s="98" t="s">
        <v>236</v>
      </c>
      <c r="C222" s="98" t="s">
        <v>237</v>
      </c>
      <c r="D222" s="99">
        <v>1425062</v>
      </c>
      <c r="E222" s="99">
        <v>2</v>
      </c>
      <c r="F222" s="99"/>
      <c r="G222" s="99">
        <v>7</v>
      </c>
      <c r="H222" s="99">
        <v>2</v>
      </c>
      <c r="I222" s="99"/>
      <c r="J222" s="99" t="s">
        <v>3</v>
      </c>
      <c r="K222" s="99" t="b">
        <v>1</v>
      </c>
      <c r="L222" s="95">
        <v>2022</v>
      </c>
      <c r="M222" s="96">
        <v>34208608</v>
      </c>
      <c r="N222" s="100">
        <v>41152</v>
      </c>
      <c r="O222" s="100">
        <v>41152</v>
      </c>
    </row>
    <row r="223" spans="1:15" ht="14.25">
      <c r="A223" s="97">
        <v>2012</v>
      </c>
      <c r="B223" s="98" t="s">
        <v>236</v>
      </c>
      <c r="C223" s="98" t="s">
        <v>237</v>
      </c>
      <c r="D223" s="99">
        <v>1425062</v>
      </c>
      <c r="E223" s="99">
        <v>2</v>
      </c>
      <c r="F223" s="99"/>
      <c r="G223" s="99">
        <v>20</v>
      </c>
      <c r="H223" s="99">
        <v>7</v>
      </c>
      <c r="I223" s="99" t="s">
        <v>259</v>
      </c>
      <c r="J223" s="99" t="s">
        <v>12</v>
      </c>
      <c r="K223" s="99" t="b">
        <v>1</v>
      </c>
      <c r="L223" s="95">
        <v>2012</v>
      </c>
      <c r="M223" s="96">
        <v>3796952</v>
      </c>
      <c r="N223" s="100">
        <v>41152</v>
      </c>
      <c r="O223" s="100">
        <v>41152</v>
      </c>
    </row>
    <row r="224" spans="1:15" ht="14.25">
      <c r="A224" s="97">
        <v>2012</v>
      </c>
      <c r="B224" s="98" t="s">
        <v>236</v>
      </c>
      <c r="C224" s="98" t="s">
        <v>237</v>
      </c>
      <c r="D224" s="99">
        <v>1425062</v>
      </c>
      <c r="E224" s="99">
        <v>2</v>
      </c>
      <c r="F224" s="99"/>
      <c r="G224" s="99">
        <v>9</v>
      </c>
      <c r="H224" s="99" t="s">
        <v>108</v>
      </c>
      <c r="I224" s="99"/>
      <c r="J224" s="99" t="s">
        <v>109</v>
      </c>
      <c r="K224" s="99" t="b">
        <v>0</v>
      </c>
      <c r="L224" s="95">
        <v>2014</v>
      </c>
      <c r="M224" s="96">
        <v>3102301</v>
      </c>
      <c r="N224" s="100">
        <v>41152</v>
      </c>
      <c r="O224" s="100">
        <v>41152</v>
      </c>
    </row>
    <row r="225" spans="1:15" ht="14.25">
      <c r="A225" s="97">
        <v>2012</v>
      </c>
      <c r="B225" s="98" t="s">
        <v>236</v>
      </c>
      <c r="C225" s="98" t="s">
        <v>237</v>
      </c>
      <c r="D225" s="99">
        <v>1425062</v>
      </c>
      <c r="E225" s="99">
        <v>2</v>
      </c>
      <c r="F225" s="99"/>
      <c r="G225" s="99">
        <v>20</v>
      </c>
      <c r="H225" s="99">
        <v>7</v>
      </c>
      <c r="I225" s="99" t="s">
        <v>259</v>
      </c>
      <c r="J225" s="99" t="s">
        <v>12</v>
      </c>
      <c r="K225" s="99" t="b">
        <v>1</v>
      </c>
      <c r="L225" s="95">
        <v>2015</v>
      </c>
      <c r="M225" s="96">
        <v>1936900</v>
      </c>
      <c r="N225" s="100">
        <v>41152</v>
      </c>
      <c r="O225" s="100">
        <v>41152</v>
      </c>
    </row>
    <row r="226" spans="1:15" ht="14.25">
      <c r="A226" s="97">
        <v>2012</v>
      </c>
      <c r="B226" s="98" t="s">
        <v>236</v>
      </c>
      <c r="C226" s="98" t="s">
        <v>237</v>
      </c>
      <c r="D226" s="99">
        <v>1425062</v>
      </c>
      <c r="E226" s="99">
        <v>2</v>
      </c>
      <c r="F226" s="99"/>
      <c r="G226" s="99">
        <v>41</v>
      </c>
      <c r="H226" s="99" t="s">
        <v>145</v>
      </c>
      <c r="I226" s="99" t="s">
        <v>256</v>
      </c>
      <c r="J226" s="99" t="s">
        <v>73</v>
      </c>
      <c r="K226" s="99" t="b">
        <v>0</v>
      </c>
      <c r="L226" s="95">
        <v>2019</v>
      </c>
      <c r="M226" s="96">
        <v>0.136</v>
      </c>
      <c r="N226" s="100">
        <v>41152</v>
      </c>
      <c r="O226" s="100">
        <v>41152</v>
      </c>
    </row>
    <row r="227" spans="1:15" ht="14.25">
      <c r="A227" s="97">
        <v>2012</v>
      </c>
      <c r="B227" s="98" t="s">
        <v>236</v>
      </c>
      <c r="C227" s="98" t="s">
        <v>237</v>
      </c>
      <c r="D227" s="99">
        <v>1425062</v>
      </c>
      <c r="E227" s="99">
        <v>2</v>
      </c>
      <c r="F227" s="99"/>
      <c r="G227" s="99">
        <v>9</v>
      </c>
      <c r="H227" s="99" t="s">
        <v>108</v>
      </c>
      <c r="I227" s="99"/>
      <c r="J227" s="99" t="s">
        <v>109</v>
      </c>
      <c r="K227" s="99" t="b">
        <v>0</v>
      </c>
      <c r="L227" s="95">
        <v>2016</v>
      </c>
      <c r="M227" s="96">
        <v>3265718</v>
      </c>
      <c r="N227" s="100">
        <v>41152</v>
      </c>
      <c r="O227" s="100">
        <v>41152</v>
      </c>
    </row>
    <row r="228" spans="1:15" ht="14.25">
      <c r="A228" s="97">
        <v>2012</v>
      </c>
      <c r="B228" s="98" t="s">
        <v>236</v>
      </c>
      <c r="C228" s="98" t="s">
        <v>237</v>
      </c>
      <c r="D228" s="99">
        <v>1425062</v>
      </c>
      <c r="E228" s="99">
        <v>2</v>
      </c>
      <c r="F228" s="99"/>
      <c r="G228" s="99">
        <v>47</v>
      </c>
      <c r="H228" s="99" t="s">
        <v>149</v>
      </c>
      <c r="I228" s="99" t="s">
        <v>244</v>
      </c>
      <c r="J228" s="99" t="s">
        <v>78</v>
      </c>
      <c r="K228" s="99" t="b">
        <v>0</v>
      </c>
      <c r="L228" s="95">
        <v>2014</v>
      </c>
      <c r="M228" s="96">
        <v>6</v>
      </c>
      <c r="N228" s="100">
        <v>41152</v>
      </c>
      <c r="O228" s="100">
        <v>41152</v>
      </c>
    </row>
    <row r="229" spans="1:15" ht="14.25">
      <c r="A229" s="97">
        <v>2012</v>
      </c>
      <c r="B229" s="98" t="s">
        <v>236</v>
      </c>
      <c r="C229" s="98" t="s">
        <v>237</v>
      </c>
      <c r="D229" s="99">
        <v>1425062</v>
      </c>
      <c r="E229" s="99">
        <v>2</v>
      </c>
      <c r="F229" s="99"/>
      <c r="G229" s="99">
        <v>14</v>
      </c>
      <c r="H229" s="99">
        <v>3</v>
      </c>
      <c r="I229" s="99" t="s">
        <v>243</v>
      </c>
      <c r="J229" s="99" t="s">
        <v>118</v>
      </c>
      <c r="K229" s="99" t="b">
        <v>1</v>
      </c>
      <c r="L229" s="95">
        <v>2016</v>
      </c>
      <c r="M229" s="96">
        <v>4310444</v>
      </c>
      <c r="N229" s="100">
        <v>41152</v>
      </c>
      <c r="O229" s="100">
        <v>41152</v>
      </c>
    </row>
    <row r="230" spans="1:15" ht="14.25">
      <c r="A230" s="97">
        <v>2012</v>
      </c>
      <c r="B230" s="98" t="s">
        <v>236</v>
      </c>
      <c r="C230" s="98" t="s">
        <v>237</v>
      </c>
      <c r="D230" s="99">
        <v>1425062</v>
      </c>
      <c r="E230" s="99">
        <v>2</v>
      </c>
      <c r="F230" s="99"/>
      <c r="G230" s="99">
        <v>30</v>
      </c>
      <c r="H230" s="99">
        <v>11</v>
      </c>
      <c r="I230" s="99"/>
      <c r="J230" s="99" t="s">
        <v>64</v>
      </c>
      <c r="K230" s="99" t="b">
        <v>1</v>
      </c>
      <c r="L230" s="95">
        <v>2012</v>
      </c>
      <c r="M230" s="96">
        <v>3659400</v>
      </c>
      <c r="N230" s="100">
        <v>41152</v>
      </c>
      <c r="O230" s="100">
        <v>41152</v>
      </c>
    </row>
    <row r="231" spans="1:15" ht="14.25">
      <c r="A231" s="97">
        <v>2012</v>
      </c>
      <c r="B231" s="98" t="s">
        <v>236</v>
      </c>
      <c r="C231" s="98" t="s">
        <v>237</v>
      </c>
      <c r="D231" s="99">
        <v>1425062</v>
      </c>
      <c r="E231" s="99">
        <v>2</v>
      </c>
      <c r="F231" s="99"/>
      <c r="G231" s="99">
        <v>8</v>
      </c>
      <c r="H231" s="99" t="s">
        <v>106</v>
      </c>
      <c r="I231" s="99"/>
      <c r="J231" s="99" t="s">
        <v>107</v>
      </c>
      <c r="K231" s="99" t="b">
        <v>0</v>
      </c>
      <c r="L231" s="95">
        <v>2018</v>
      </c>
      <c r="M231" s="96">
        <v>17272644</v>
      </c>
      <c r="N231" s="100">
        <v>41152</v>
      </c>
      <c r="O231" s="100">
        <v>41152</v>
      </c>
    </row>
    <row r="232" spans="1:15" ht="14.25">
      <c r="A232" s="97">
        <v>2012</v>
      </c>
      <c r="B232" s="98" t="s">
        <v>236</v>
      </c>
      <c r="C232" s="98" t="s">
        <v>237</v>
      </c>
      <c r="D232" s="99">
        <v>1425062</v>
      </c>
      <c r="E232" s="99">
        <v>2</v>
      </c>
      <c r="F232" s="99"/>
      <c r="G232" s="99">
        <v>26</v>
      </c>
      <c r="H232" s="99">
        <v>9</v>
      </c>
      <c r="I232" s="99" t="s">
        <v>260</v>
      </c>
      <c r="J232" s="99" t="s">
        <v>133</v>
      </c>
      <c r="K232" s="99" t="b">
        <v>0</v>
      </c>
      <c r="L232" s="95">
        <v>2019</v>
      </c>
      <c r="M232" s="96">
        <v>842279</v>
      </c>
      <c r="N232" s="100">
        <v>41152</v>
      </c>
      <c r="O232" s="100">
        <v>41152</v>
      </c>
    </row>
    <row r="233" spans="1:15" ht="14.25">
      <c r="A233" s="97">
        <v>2012</v>
      </c>
      <c r="B233" s="98" t="s">
        <v>236</v>
      </c>
      <c r="C233" s="98" t="s">
        <v>237</v>
      </c>
      <c r="D233" s="99">
        <v>1425062</v>
      </c>
      <c r="E233" s="99">
        <v>2</v>
      </c>
      <c r="F233" s="99"/>
      <c r="G233" s="99">
        <v>54</v>
      </c>
      <c r="H233" s="99">
        <v>27</v>
      </c>
      <c r="I233" s="99" t="s">
        <v>241</v>
      </c>
      <c r="J233" s="99" t="s">
        <v>46</v>
      </c>
      <c r="K233" s="99" t="b">
        <v>0</v>
      </c>
      <c r="L233" s="95">
        <v>2016</v>
      </c>
      <c r="M233" s="96">
        <v>33160491</v>
      </c>
      <c r="N233" s="100">
        <v>41152</v>
      </c>
      <c r="O233" s="100">
        <v>41152</v>
      </c>
    </row>
    <row r="234" spans="1:15" ht="14.25">
      <c r="A234" s="97">
        <v>2012</v>
      </c>
      <c r="B234" s="98" t="s">
        <v>236</v>
      </c>
      <c r="C234" s="98" t="s">
        <v>237</v>
      </c>
      <c r="D234" s="99">
        <v>1425062</v>
      </c>
      <c r="E234" s="99">
        <v>2</v>
      </c>
      <c r="F234" s="99"/>
      <c r="G234" s="99">
        <v>19</v>
      </c>
      <c r="H234" s="99">
        <v>6</v>
      </c>
      <c r="I234" s="99" t="s">
        <v>251</v>
      </c>
      <c r="J234" s="99" t="s">
        <v>123</v>
      </c>
      <c r="K234" s="99" t="b">
        <v>0</v>
      </c>
      <c r="L234" s="95">
        <v>2018</v>
      </c>
      <c r="M234" s="96">
        <v>2906476</v>
      </c>
      <c r="N234" s="100">
        <v>41152</v>
      </c>
      <c r="O234" s="100">
        <v>41152</v>
      </c>
    </row>
    <row r="235" spans="1:15" ht="14.25">
      <c r="A235" s="97">
        <v>2012</v>
      </c>
      <c r="B235" s="98" t="s">
        <v>236</v>
      </c>
      <c r="C235" s="98" t="s">
        <v>237</v>
      </c>
      <c r="D235" s="99">
        <v>1425062</v>
      </c>
      <c r="E235" s="99">
        <v>2</v>
      </c>
      <c r="F235" s="99"/>
      <c r="G235" s="99">
        <v>24</v>
      </c>
      <c r="H235" s="99" t="s">
        <v>130</v>
      </c>
      <c r="I235" s="99"/>
      <c r="J235" s="99" t="s">
        <v>131</v>
      </c>
      <c r="K235" s="99" t="b">
        <v>1</v>
      </c>
      <c r="L235" s="95">
        <v>2020</v>
      </c>
      <c r="M235" s="96">
        <v>216400</v>
      </c>
      <c r="N235" s="100">
        <v>41152</v>
      </c>
      <c r="O235" s="100">
        <v>41152</v>
      </c>
    </row>
    <row r="236" spans="1:15" ht="14.25">
      <c r="A236" s="97">
        <v>2012</v>
      </c>
      <c r="B236" s="98" t="s">
        <v>236</v>
      </c>
      <c r="C236" s="98" t="s">
        <v>237</v>
      </c>
      <c r="D236" s="99">
        <v>1425062</v>
      </c>
      <c r="E236" s="99">
        <v>2</v>
      </c>
      <c r="F236" s="99"/>
      <c r="G236" s="99">
        <v>7</v>
      </c>
      <c r="H236" s="99">
        <v>2</v>
      </c>
      <c r="I236" s="99"/>
      <c r="J236" s="99" t="s">
        <v>3</v>
      </c>
      <c r="K236" s="99" t="b">
        <v>1</v>
      </c>
      <c r="L236" s="95">
        <v>2017</v>
      </c>
      <c r="M236" s="96">
        <v>30016241</v>
      </c>
      <c r="N236" s="100">
        <v>41152</v>
      </c>
      <c r="O236" s="100">
        <v>41152</v>
      </c>
    </row>
    <row r="237" spans="1:15" ht="14.25">
      <c r="A237" s="97">
        <v>2012</v>
      </c>
      <c r="B237" s="98" t="s">
        <v>236</v>
      </c>
      <c r="C237" s="98" t="s">
        <v>237</v>
      </c>
      <c r="D237" s="99">
        <v>1425062</v>
      </c>
      <c r="E237" s="99">
        <v>2</v>
      </c>
      <c r="F237" s="99"/>
      <c r="G237" s="99">
        <v>47</v>
      </c>
      <c r="H237" s="99" t="s">
        <v>149</v>
      </c>
      <c r="I237" s="99" t="s">
        <v>244</v>
      </c>
      <c r="J237" s="99" t="s">
        <v>78</v>
      </c>
      <c r="K237" s="99" t="b">
        <v>0</v>
      </c>
      <c r="L237" s="95">
        <v>2013</v>
      </c>
      <c r="M237" s="96">
        <v>-840</v>
      </c>
      <c r="N237" s="100">
        <v>41152</v>
      </c>
      <c r="O237" s="100">
        <v>41152</v>
      </c>
    </row>
    <row r="238" spans="1:15" ht="14.25">
      <c r="A238" s="97">
        <v>2012</v>
      </c>
      <c r="B238" s="98" t="s">
        <v>236</v>
      </c>
      <c r="C238" s="98" t="s">
        <v>237</v>
      </c>
      <c r="D238" s="99">
        <v>1425062</v>
      </c>
      <c r="E238" s="99">
        <v>2</v>
      </c>
      <c r="F238" s="99"/>
      <c r="G238" s="99">
        <v>51</v>
      </c>
      <c r="H238" s="99">
        <v>24</v>
      </c>
      <c r="I238" s="99" t="s">
        <v>246</v>
      </c>
      <c r="J238" s="99" t="s">
        <v>152</v>
      </c>
      <c r="K238" s="99" t="b">
        <v>1</v>
      </c>
      <c r="L238" s="95">
        <v>2020</v>
      </c>
      <c r="M238" s="96">
        <v>33131348</v>
      </c>
      <c r="N238" s="100">
        <v>41152</v>
      </c>
      <c r="O238" s="100">
        <v>41152</v>
      </c>
    </row>
    <row r="239" spans="1:15" ht="14.25">
      <c r="A239" s="97">
        <v>2012</v>
      </c>
      <c r="B239" s="98" t="s">
        <v>236</v>
      </c>
      <c r="C239" s="98" t="s">
        <v>237</v>
      </c>
      <c r="D239" s="99">
        <v>1425062</v>
      </c>
      <c r="E239" s="99">
        <v>2</v>
      </c>
      <c r="F239" s="99"/>
      <c r="G239" s="99">
        <v>55</v>
      </c>
      <c r="H239" s="99">
        <v>28</v>
      </c>
      <c r="I239" s="99" t="s">
        <v>257</v>
      </c>
      <c r="J239" s="99" t="s">
        <v>48</v>
      </c>
      <c r="K239" s="99" t="b">
        <v>0</v>
      </c>
      <c r="L239" s="95">
        <v>2020</v>
      </c>
      <c r="M239" s="96">
        <v>500000</v>
      </c>
      <c r="N239" s="100">
        <v>41152</v>
      </c>
      <c r="O239" s="100">
        <v>41152</v>
      </c>
    </row>
    <row r="240" spans="1:15" ht="14.25">
      <c r="A240" s="97">
        <v>2012</v>
      </c>
      <c r="B240" s="98" t="s">
        <v>236</v>
      </c>
      <c r="C240" s="98" t="s">
        <v>237</v>
      </c>
      <c r="D240" s="99">
        <v>1425062</v>
      </c>
      <c r="E240" s="99">
        <v>2</v>
      </c>
      <c r="F240" s="99"/>
      <c r="G240" s="99">
        <v>49</v>
      </c>
      <c r="H240" s="99" t="s">
        <v>150</v>
      </c>
      <c r="I240" s="99" t="s">
        <v>248</v>
      </c>
      <c r="J240" s="99" t="s">
        <v>81</v>
      </c>
      <c r="K240" s="99" t="b">
        <v>0</v>
      </c>
      <c r="L240" s="95">
        <v>2018</v>
      </c>
      <c r="M240" s="96">
        <v>35</v>
      </c>
      <c r="N240" s="100">
        <v>41152</v>
      </c>
      <c r="O240" s="100">
        <v>41152</v>
      </c>
    </row>
    <row r="241" spans="1:15" ht="14.25">
      <c r="A241" s="97">
        <v>2012</v>
      </c>
      <c r="B241" s="98" t="s">
        <v>236</v>
      </c>
      <c r="C241" s="98" t="s">
        <v>237</v>
      </c>
      <c r="D241" s="99">
        <v>1425062</v>
      </c>
      <c r="E241" s="99">
        <v>2</v>
      </c>
      <c r="F241" s="99"/>
      <c r="G241" s="99">
        <v>31</v>
      </c>
      <c r="H241" s="99" t="s">
        <v>137</v>
      </c>
      <c r="I241" s="99"/>
      <c r="J241" s="99" t="s">
        <v>120</v>
      </c>
      <c r="K241" s="99" t="b">
        <v>1</v>
      </c>
      <c r="L241" s="95">
        <v>2012</v>
      </c>
      <c r="M241" s="96">
        <v>498448</v>
      </c>
      <c r="N241" s="100">
        <v>41152</v>
      </c>
      <c r="O241" s="100">
        <v>41152</v>
      </c>
    </row>
    <row r="242" spans="1:15" ht="14.25">
      <c r="A242" s="97">
        <v>2012</v>
      </c>
      <c r="B242" s="98" t="s">
        <v>236</v>
      </c>
      <c r="C242" s="98" t="s">
        <v>237</v>
      </c>
      <c r="D242" s="99">
        <v>1425062</v>
      </c>
      <c r="E242" s="99">
        <v>2</v>
      </c>
      <c r="F242" s="99"/>
      <c r="G242" s="99">
        <v>24</v>
      </c>
      <c r="H242" s="99" t="s">
        <v>130</v>
      </c>
      <c r="I242" s="99"/>
      <c r="J242" s="99" t="s">
        <v>131</v>
      </c>
      <c r="K242" s="99" t="b">
        <v>1</v>
      </c>
      <c r="L242" s="95">
        <v>2021</v>
      </c>
      <c r="M242" s="96">
        <v>130000</v>
      </c>
      <c r="N242" s="100">
        <v>41152</v>
      </c>
      <c r="O242" s="100">
        <v>41152</v>
      </c>
    </row>
    <row r="243" spans="1:15" ht="14.25">
      <c r="A243" s="97">
        <v>2012</v>
      </c>
      <c r="B243" s="98" t="s">
        <v>236</v>
      </c>
      <c r="C243" s="98" t="s">
        <v>237</v>
      </c>
      <c r="D243" s="99">
        <v>1425062</v>
      </c>
      <c r="E243" s="99">
        <v>2</v>
      </c>
      <c r="F243" s="99"/>
      <c r="G243" s="99">
        <v>26</v>
      </c>
      <c r="H243" s="99">
        <v>9</v>
      </c>
      <c r="I243" s="99" t="s">
        <v>260</v>
      </c>
      <c r="J243" s="99" t="s">
        <v>133</v>
      </c>
      <c r="K243" s="99" t="b">
        <v>0</v>
      </c>
      <c r="L243" s="95">
        <v>2020</v>
      </c>
      <c r="M243" s="96">
        <v>1610059</v>
      </c>
      <c r="N243" s="100">
        <v>41152</v>
      </c>
      <c r="O243" s="100">
        <v>41152</v>
      </c>
    </row>
    <row r="244" spans="1:15" ht="14.25">
      <c r="A244" s="97">
        <v>2012</v>
      </c>
      <c r="B244" s="98" t="s">
        <v>236</v>
      </c>
      <c r="C244" s="98" t="s">
        <v>237</v>
      </c>
      <c r="D244" s="99">
        <v>1425062</v>
      </c>
      <c r="E244" s="99">
        <v>2</v>
      </c>
      <c r="F244" s="99"/>
      <c r="G244" s="99">
        <v>41</v>
      </c>
      <c r="H244" s="99" t="s">
        <v>145</v>
      </c>
      <c r="I244" s="99" t="s">
        <v>256</v>
      </c>
      <c r="J244" s="99" t="s">
        <v>73</v>
      </c>
      <c r="K244" s="99" t="b">
        <v>0</v>
      </c>
      <c r="L244" s="95">
        <v>2020</v>
      </c>
      <c r="M244" s="96">
        <v>0.1209</v>
      </c>
      <c r="N244" s="100">
        <v>41152</v>
      </c>
      <c r="O244" s="100">
        <v>41152</v>
      </c>
    </row>
    <row r="245" spans="1:15" ht="14.25">
      <c r="A245" s="97">
        <v>2012</v>
      </c>
      <c r="B245" s="98" t="s">
        <v>236</v>
      </c>
      <c r="C245" s="98" t="s">
        <v>237</v>
      </c>
      <c r="D245" s="99">
        <v>1425062</v>
      </c>
      <c r="E245" s="99">
        <v>2</v>
      </c>
      <c r="F245" s="99"/>
      <c r="G245" s="99">
        <v>7</v>
      </c>
      <c r="H245" s="99">
        <v>2</v>
      </c>
      <c r="I245" s="99"/>
      <c r="J245" s="99" t="s">
        <v>3</v>
      </c>
      <c r="K245" s="99" t="b">
        <v>1</v>
      </c>
      <c r="L245" s="95">
        <v>2021</v>
      </c>
      <c r="M245" s="96">
        <v>33426802</v>
      </c>
      <c r="N245" s="100">
        <v>41152</v>
      </c>
      <c r="O245" s="100">
        <v>41152</v>
      </c>
    </row>
    <row r="246" spans="1:15" ht="14.25">
      <c r="A246" s="97">
        <v>2012</v>
      </c>
      <c r="B246" s="98" t="s">
        <v>236</v>
      </c>
      <c r="C246" s="98" t="s">
        <v>237</v>
      </c>
      <c r="D246" s="99">
        <v>1425062</v>
      </c>
      <c r="E246" s="99">
        <v>2</v>
      </c>
      <c r="F246" s="99"/>
      <c r="G246" s="99">
        <v>51</v>
      </c>
      <c r="H246" s="99">
        <v>24</v>
      </c>
      <c r="I246" s="99" t="s">
        <v>246</v>
      </c>
      <c r="J246" s="99" t="s">
        <v>152</v>
      </c>
      <c r="K246" s="99" t="b">
        <v>1</v>
      </c>
      <c r="L246" s="95">
        <v>2022</v>
      </c>
      <c r="M246" s="96">
        <v>34328608</v>
      </c>
      <c r="N246" s="100">
        <v>41152</v>
      </c>
      <c r="O246" s="100">
        <v>41152</v>
      </c>
    </row>
    <row r="247" spans="1:15" ht="14.25">
      <c r="A247" s="97">
        <v>2012</v>
      </c>
      <c r="B247" s="98" t="s">
        <v>236</v>
      </c>
      <c r="C247" s="98" t="s">
        <v>237</v>
      </c>
      <c r="D247" s="99">
        <v>1425062</v>
      </c>
      <c r="E247" s="99">
        <v>2</v>
      </c>
      <c r="F247" s="99"/>
      <c r="G247" s="99">
        <v>47</v>
      </c>
      <c r="H247" s="99" t="s">
        <v>149</v>
      </c>
      <c r="I247" s="99" t="s">
        <v>244</v>
      </c>
      <c r="J247" s="99" t="s">
        <v>78</v>
      </c>
      <c r="K247" s="99" t="b">
        <v>0</v>
      </c>
      <c r="L247" s="95">
        <v>2020</v>
      </c>
      <c r="M247" s="96">
        <v>637</v>
      </c>
      <c r="N247" s="100">
        <v>41152</v>
      </c>
      <c r="O247" s="100">
        <v>41152</v>
      </c>
    </row>
    <row r="248" spans="1:15" ht="14.25">
      <c r="A248" s="97">
        <v>2012</v>
      </c>
      <c r="B248" s="98" t="s">
        <v>236</v>
      </c>
      <c r="C248" s="98" t="s">
        <v>237</v>
      </c>
      <c r="D248" s="99">
        <v>1425062</v>
      </c>
      <c r="E248" s="99">
        <v>2</v>
      </c>
      <c r="F248" s="99"/>
      <c r="G248" s="99">
        <v>51</v>
      </c>
      <c r="H248" s="99">
        <v>24</v>
      </c>
      <c r="I248" s="99" t="s">
        <v>246</v>
      </c>
      <c r="J248" s="99" t="s">
        <v>152</v>
      </c>
      <c r="K248" s="99" t="b">
        <v>1</v>
      </c>
      <c r="L248" s="95">
        <v>2018</v>
      </c>
      <c r="M248" s="96">
        <v>31221747</v>
      </c>
      <c r="N248" s="100">
        <v>41152</v>
      </c>
      <c r="O248" s="100">
        <v>41152</v>
      </c>
    </row>
    <row r="249" spans="1:15" ht="14.25">
      <c r="A249" s="97">
        <v>2012</v>
      </c>
      <c r="B249" s="98" t="s">
        <v>236</v>
      </c>
      <c r="C249" s="98" t="s">
        <v>237</v>
      </c>
      <c r="D249" s="99">
        <v>1425062</v>
      </c>
      <c r="E249" s="99">
        <v>2</v>
      </c>
      <c r="F249" s="99"/>
      <c r="G249" s="99">
        <v>41</v>
      </c>
      <c r="H249" s="99" t="s">
        <v>145</v>
      </c>
      <c r="I249" s="99" t="s">
        <v>256</v>
      </c>
      <c r="J249" s="99" t="s">
        <v>73</v>
      </c>
      <c r="K249" s="99" t="b">
        <v>0</v>
      </c>
      <c r="L249" s="95">
        <v>2013</v>
      </c>
      <c r="M249" s="96">
        <v>0.3861</v>
      </c>
      <c r="N249" s="100">
        <v>41152</v>
      </c>
      <c r="O249" s="100">
        <v>41152</v>
      </c>
    </row>
    <row r="250" spans="1:15" ht="14.25">
      <c r="A250" s="97">
        <v>2012</v>
      </c>
      <c r="B250" s="98" t="s">
        <v>236</v>
      </c>
      <c r="C250" s="98" t="s">
        <v>237</v>
      </c>
      <c r="D250" s="99">
        <v>1425062</v>
      </c>
      <c r="E250" s="99">
        <v>2</v>
      </c>
      <c r="F250" s="99"/>
      <c r="G250" s="99">
        <v>45</v>
      </c>
      <c r="H250" s="99" t="s">
        <v>148</v>
      </c>
      <c r="I250" s="99" t="s">
        <v>238</v>
      </c>
      <c r="J250" s="99" t="s">
        <v>53</v>
      </c>
      <c r="K250" s="99" t="b">
        <v>0</v>
      </c>
      <c r="L250" s="95">
        <v>2022</v>
      </c>
      <c r="M250" s="96">
        <v>0.0825</v>
      </c>
      <c r="N250" s="100">
        <v>41152</v>
      </c>
      <c r="O250" s="100">
        <v>41152</v>
      </c>
    </row>
    <row r="251" spans="1:15" ht="14.25">
      <c r="A251" s="97">
        <v>2012</v>
      </c>
      <c r="B251" s="98" t="s">
        <v>236</v>
      </c>
      <c r="C251" s="98" t="s">
        <v>237</v>
      </c>
      <c r="D251" s="99">
        <v>1425062</v>
      </c>
      <c r="E251" s="99">
        <v>2</v>
      </c>
      <c r="F251" s="99"/>
      <c r="G251" s="99">
        <v>23</v>
      </c>
      <c r="H251" s="99" t="s">
        <v>128</v>
      </c>
      <c r="I251" s="99"/>
      <c r="J251" s="99" t="s">
        <v>129</v>
      </c>
      <c r="K251" s="99" t="b">
        <v>1</v>
      </c>
      <c r="L251" s="95">
        <v>2021</v>
      </c>
      <c r="M251" s="96">
        <v>130000</v>
      </c>
      <c r="N251" s="100">
        <v>41152</v>
      </c>
      <c r="O251" s="100">
        <v>41152</v>
      </c>
    </row>
    <row r="252" spans="1:15" ht="14.25">
      <c r="A252" s="97">
        <v>2012</v>
      </c>
      <c r="B252" s="98" t="s">
        <v>236</v>
      </c>
      <c r="C252" s="98" t="s">
        <v>237</v>
      </c>
      <c r="D252" s="99">
        <v>1425062</v>
      </c>
      <c r="E252" s="99">
        <v>2</v>
      </c>
      <c r="F252" s="99"/>
      <c r="G252" s="99">
        <v>44</v>
      </c>
      <c r="H252" s="99">
        <v>20</v>
      </c>
      <c r="I252" s="99" t="s">
        <v>245</v>
      </c>
      <c r="J252" s="99" t="s">
        <v>147</v>
      </c>
      <c r="K252" s="99" t="b">
        <v>1</v>
      </c>
      <c r="L252" s="95">
        <v>2012</v>
      </c>
      <c r="M252" s="96">
        <v>0.0517</v>
      </c>
      <c r="N252" s="100">
        <v>41152</v>
      </c>
      <c r="O252" s="100">
        <v>41152</v>
      </c>
    </row>
    <row r="253" spans="1:15" ht="14.25">
      <c r="A253" s="97">
        <v>2012</v>
      </c>
      <c r="B253" s="98" t="s">
        <v>236</v>
      </c>
      <c r="C253" s="98" t="s">
        <v>237</v>
      </c>
      <c r="D253" s="99">
        <v>1425062</v>
      </c>
      <c r="E253" s="99">
        <v>2</v>
      </c>
      <c r="F253" s="99"/>
      <c r="G253" s="99">
        <v>44</v>
      </c>
      <c r="H253" s="99">
        <v>20</v>
      </c>
      <c r="I253" s="99" t="s">
        <v>245</v>
      </c>
      <c r="J253" s="99" t="s">
        <v>147</v>
      </c>
      <c r="K253" s="99" t="b">
        <v>1</v>
      </c>
      <c r="L253" s="95">
        <v>2017</v>
      </c>
      <c r="M253" s="96">
        <v>0.0796</v>
      </c>
      <c r="N253" s="100">
        <v>41152</v>
      </c>
      <c r="O253" s="100">
        <v>41152</v>
      </c>
    </row>
    <row r="254" spans="1:15" ht="14.25">
      <c r="A254" s="97">
        <v>2012</v>
      </c>
      <c r="B254" s="98" t="s">
        <v>236</v>
      </c>
      <c r="C254" s="98" t="s">
        <v>237</v>
      </c>
      <c r="D254" s="99">
        <v>1425062</v>
      </c>
      <c r="E254" s="99">
        <v>2</v>
      </c>
      <c r="F254" s="99"/>
      <c r="G254" s="99">
        <v>40</v>
      </c>
      <c r="H254" s="99">
        <v>18</v>
      </c>
      <c r="I254" s="99" t="s">
        <v>258</v>
      </c>
      <c r="J254" s="99" t="s">
        <v>71</v>
      </c>
      <c r="K254" s="99" t="b">
        <v>0</v>
      </c>
      <c r="L254" s="95">
        <v>2016</v>
      </c>
      <c r="M254" s="96">
        <v>0.3231</v>
      </c>
      <c r="N254" s="100">
        <v>41152</v>
      </c>
      <c r="O254" s="100">
        <v>41152</v>
      </c>
    </row>
    <row r="255" spans="1:15" ht="14.25">
      <c r="A255" s="97">
        <v>2012</v>
      </c>
      <c r="B255" s="98" t="s">
        <v>236</v>
      </c>
      <c r="C255" s="98" t="s">
        <v>237</v>
      </c>
      <c r="D255" s="99">
        <v>1425062</v>
      </c>
      <c r="E255" s="99">
        <v>2</v>
      </c>
      <c r="F255" s="99"/>
      <c r="G255" s="99">
        <v>49</v>
      </c>
      <c r="H255" s="99" t="s">
        <v>150</v>
      </c>
      <c r="I255" s="99" t="s">
        <v>248</v>
      </c>
      <c r="J255" s="99" t="s">
        <v>81</v>
      </c>
      <c r="K255" s="99" t="b">
        <v>0</v>
      </c>
      <c r="L255" s="95">
        <v>2019</v>
      </c>
      <c r="M255" s="96">
        <v>10</v>
      </c>
      <c r="N255" s="100">
        <v>41152</v>
      </c>
      <c r="O255" s="100">
        <v>41152</v>
      </c>
    </row>
    <row r="256" spans="1:15" ht="14.25">
      <c r="A256" s="97">
        <v>2012</v>
      </c>
      <c r="B256" s="98" t="s">
        <v>236</v>
      </c>
      <c r="C256" s="98" t="s">
        <v>237</v>
      </c>
      <c r="D256" s="99">
        <v>1425062</v>
      </c>
      <c r="E256" s="99">
        <v>2</v>
      </c>
      <c r="F256" s="99"/>
      <c r="G256" s="99">
        <v>28</v>
      </c>
      <c r="H256" s="99" t="s">
        <v>134</v>
      </c>
      <c r="I256" s="99"/>
      <c r="J256" s="99" t="s">
        <v>135</v>
      </c>
      <c r="K256" s="99" t="b">
        <v>0</v>
      </c>
      <c r="L256" s="95">
        <v>2014</v>
      </c>
      <c r="M256" s="96">
        <v>3068000</v>
      </c>
      <c r="N256" s="100">
        <v>41152</v>
      </c>
      <c r="O256" s="100">
        <v>41152</v>
      </c>
    </row>
    <row r="257" spans="1:15" ht="14.25">
      <c r="A257" s="97">
        <v>2012</v>
      </c>
      <c r="B257" s="98" t="s">
        <v>236</v>
      </c>
      <c r="C257" s="98" t="s">
        <v>237</v>
      </c>
      <c r="D257" s="99">
        <v>1425062</v>
      </c>
      <c r="E257" s="99">
        <v>2</v>
      </c>
      <c r="F257" s="99"/>
      <c r="G257" s="99">
        <v>14</v>
      </c>
      <c r="H257" s="99">
        <v>3</v>
      </c>
      <c r="I257" s="99" t="s">
        <v>243</v>
      </c>
      <c r="J257" s="99" t="s">
        <v>118</v>
      </c>
      <c r="K257" s="99" t="b">
        <v>1</v>
      </c>
      <c r="L257" s="95">
        <v>2017</v>
      </c>
      <c r="M257" s="96">
        <v>2975238</v>
      </c>
      <c r="N257" s="100">
        <v>41152</v>
      </c>
      <c r="O257" s="100">
        <v>41152</v>
      </c>
    </row>
    <row r="258" spans="1:15" ht="14.25">
      <c r="A258" s="97">
        <v>2012</v>
      </c>
      <c r="B258" s="98" t="s">
        <v>236</v>
      </c>
      <c r="C258" s="98" t="s">
        <v>237</v>
      </c>
      <c r="D258" s="99">
        <v>1425062</v>
      </c>
      <c r="E258" s="99">
        <v>2</v>
      </c>
      <c r="F258" s="99"/>
      <c r="G258" s="99">
        <v>43</v>
      </c>
      <c r="H258" s="99" t="s">
        <v>146</v>
      </c>
      <c r="I258" s="99" t="s">
        <v>253</v>
      </c>
      <c r="J258" s="99" t="s">
        <v>76</v>
      </c>
      <c r="K258" s="99" t="b">
        <v>0</v>
      </c>
      <c r="L258" s="95">
        <v>2018</v>
      </c>
      <c r="M258" s="96">
        <v>0.0649</v>
      </c>
      <c r="N258" s="100">
        <v>41152</v>
      </c>
      <c r="O258" s="100">
        <v>41152</v>
      </c>
    </row>
    <row r="259" spans="1:15" ht="14.25">
      <c r="A259" s="97">
        <v>2012</v>
      </c>
      <c r="B259" s="98" t="s">
        <v>236</v>
      </c>
      <c r="C259" s="98" t="s">
        <v>237</v>
      </c>
      <c r="D259" s="99">
        <v>1425062</v>
      </c>
      <c r="E259" s="99">
        <v>2</v>
      </c>
      <c r="F259" s="99"/>
      <c r="G259" s="99">
        <v>54</v>
      </c>
      <c r="H259" s="99">
        <v>27</v>
      </c>
      <c r="I259" s="99" t="s">
        <v>241</v>
      </c>
      <c r="J259" s="99" t="s">
        <v>46</v>
      </c>
      <c r="K259" s="99" t="b">
        <v>0</v>
      </c>
      <c r="L259" s="95">
        <v>2019</v>
      </c>
      <c r="M259" s="96">
        <v>32544570</v>
      </c>
      <c r="N259" s="100">
        <v>41152</v>
      </c>
      <c r="O259" s="100">
        <v>41152</v>
      </c>
    </row>
    <row r="260" spans="1:15" ht="14.25">
      <c r="A260" s="97">
        <v>2012</v>
      </c>
      <c r="B260" s="98" t="s">
        <v>236</v>
      </c>
      <c r="C260" s="98" t="s">
        <v>237</v>
      </c>
      <c r="D260" s="99">
        <v>1425062</v>
      </c>
      <c r="E260" s="99">
        <v>2</v>
      </c>
      <c r="F260" s="99"/>
      <c r="G260" s="99">
        <v>52</v>
      </c>
      <c r="H260" s="99">
        <v>25</v>
      </c>
      <c r="I260" s="99" t="s">
        <v>254</v>
      </c>
      <c r="J260" s="99" t="s">
        <v>49</v>
      </c>
      <c r="K260" s="99" t="b">
        <v>1</v>
      </c>
      <c r="L260" s="95">
        <v>2014</v>
      </c>
      <c r="M260" s="96">
        <v>1927626</v>
      </c>
      <c r="N260" s="100">
        <v>41152</v>
      </c>
      <c r="O260" s="100">
        <v>41152</v>
      </c>
    </row>
    <row r="261" spans="1:15" ht="14.25">
      <c r="A261" s="97">
        <v>2012</v>
      </c>
      <c r="B261" s="98" t="s">
        <v>236</v>
      </c>
      <c r="C261" s="98" t="s">
        <v>237</v>
      </c>
      <c r="D261" s="99">
        <v>1425062</v>
      </c>
      <c r="E261" s="99">
        <v>2</v>
      </c>
      <c r="F261" s="99"/>
      <c r="G261" s="99">
        <v>48</v>
      </c>
      <c r="H261" s="99">
        <v>22</v>
      </c>
      <c r="I261" s="99" t="s">
        <v>242</v>
      </c>
      <c r="J261" s="99" t="s">
        <v>79</v>
      </c>
      <c r="K261" s="99" t="b">
        <v>0</v>
      </c>
      <c r="L261" s="95">
        <v>2017</v>
      </c>
      <c r="M261" s="96">
        <v>0.062</v>
      </c>
      <c r="N261" s="100">
        <v>41152</v>
      </c>
      <c r="O261" s="100">
        <v>41152</v>
      </c>
    </row>
    <row r="262" spans="1:15" ht="14.25">
      <c r="A262" s="97">
        <v>2012</v>
      </c>
      <c r="B262" s="98" t="s">
        <v>236</v>
      </c>
      <c r="C262" s="98" t="s">
        <v>237</v>
      </c>
      <c r="D262" s="99">
        <v>1425062</v>
      </c>
      <c r="E262" s="99">
        <v>2</v>
      </c>
      <c r="F262" s="99"/>
      <c r="G262" s="99">
        <v>42</v>
      </c>
      <c r="H262" s="99">
        <v>19</v>
      </c>
      <c r="I262" s="99" t="s">
        <v>247</v>
      </c>
      <c r="J262" s="99" t="s">
        <v>74</v>
      </c>
      <c r="K262" s="99" t="b">
        <v>1</v>
      </c>
      <c r="L262" s="95">
        <v>2021</v>
      </c>
      <c r="M262" s="96">
        <v>0.0728</v>
      </c>
      <c r="N262" s="100">
        <v>41152</v>
      </c>
      <c r="O262" s="100">
        <v>41152</v>
      </c>
    </row>
    <row r="263" spans="1:15" ht="14.25">
      <c r="A263" s="97">
        <v>2012</v>
      </c>
      <c r="B263" s="98" t="s">
        <v>236</v>
      </c>
      <c r="C263" s="98" t="s">
        <v>237</v>
      </c>
      <c r="D263" s="99">
        <v>1425062</v>
      </c>
      <c r="E263" s="99">
        <v>2</v>
      </c>
      <c r="F263" s="99"/>
      <c r="G263" s="99">
        <v>4</v>
      </c>
      <c r="H263" s="99" t="s">
        <v>100</v>
      </c>
      <c r="I263" s="99"/>
      <c r="J263" s="99" t="s">
        <v>101</v>
      </c>
      <c r="K263" s="99" t="b">
        <v>1</v>
      </c>
      <c r="L263" s="95">
        <v>2015</v>
      </c>
      <c r="M263" s="96">
        <v>1515000</v>
      </c>
      <c r="N263" s="100">
        <v>41152</v>
      </c>
      <c r="O263" s="100">
        <v>41152</v>
      </c>
    </row>
    <row r="264" spans="1:15" ht="14.25">
      <c r="A264" s="97">
        <v>2012</v>
      </c>
      <c r="B264" s="98" t="s">
        <v>236</v>
      </c>
      <c r="C264" s="98" t="s">
        <v>237</v>
      </c>
      <c r="D264" s="99">
        <v>1425062</v>
      </c>
      <c r="E264" s="99">
        <v>2</v>
      </c>
      <c r="F264" s="99"/>
      <c r="G264" s="99">
        <v>20</v>
      </c>
      <c r="H264" s="99">
        <v>7</v>
      </c>
      <c r="I264" s="99" t="s">
        <v>259</v>
      </c>
      <c r="J264" s="99" t="s">
        <v>12</v>
      </c>
      <c r="K264" s="99" t="b">
        <v>1</v>
      </c>
      <c r="L264" s="95">
        <v>2017</v>
      </c>
      <c r="M264" s="96">
        <v>2044000</v>
      </c>
      <c r="N264" s="100">
        <v>41152</v>
      </c>
      <c r="O264" s="100">
        <v>41152</v>
      </c>
    </row>
    <row r="265" spans="1:15" ht="14.25">
      <c r="A265" s="97">
        <v>2012</v>
      </c>
      <c r="B265" s="98" t="s">
        <v>236</v>
      </c>
      <c r="C265" s="98" t="s">
        <v>237</v>
      </c>
      <c r="D265" s="99">
        <v>1425062</v>
      </c>
      <c r="E265" s="99">
        <v>2</v>
      </c>
      <c r="F265" s="99"/>
      <c r="G265" s="99">
        <v>44</v>
      </c>
      <c r="H265" s="99">
        <v>20</v>
      </c>
      <c r="I265" s="99" t="s">
        <v>245</v>
      </c>
      <c r="J265" s="99" t="s">
        <v>147</v>
      </c>
      <c r="K265" s="99" t="b">
        <v>1</v>
      </c>
      <c r="L265" s="95">
        <v>2016</v>
      </c>
      <c r="M265" s="96">
        <v>0.0653</v>
      </c>
      <c r="N265" s="100">
        <v>41152</v>
      </c>
      <c r="O265" s="100">
        <v>41152</v>
      </c>
    </row>
    <row r="266" spans="1:15" ht="14.25">
      <c r="A266" s="97">
        <v>2012</v>
      </c>
      <c r="B266" s="98" t="s">
        <v>236</v>
      </c>
      <c r="C266" s="98" t="s">
        <v>237</v>
      </c>
      <c r="D266" s="99">
        <v>1425062</v>
      </c>
      <c r="E266" s="99">
        <v>2</v>
      </c>
      <c r="F266" s="99"/>
      <c r="G266" s="99">
        <v>54</v>
      </c>
      <c r="H266" s="99">
        <v>27</v>
      </c>
      <c r="I266" s="99" t="s">
        <v>241</v>
      </c>
      <c r="J266" s="99" t="s">
        <v>46</v>
      </c>
      <c r="K266" s="99" t="b">
        <v>0</v>
      </c>
      <c r="L266" s="95">
        <v>2022</v>
      </c>
      <c r="M266" s="96">
        <v>36436603</v>
      </c>
      <c r="N266" s="100">
        <v>41152</v>
      </c>
      <c r="O266" s="100">
        <v>41152</v>
      </c>
    </row>
    <row r="267" spans="1:15" ht="14.25">
      <c r="A267" s="97">
        <v>2012</v>
      </c>
      <c r="B267" s="98" t="s">
        <v>236</v>
      </c>
      <c r="C267" s="98" t="s">
        <v>237</v>
      </c>
      <c r="D267" s="99">
        <v>1425062</v>
      </c>
      <c r="E267" s="99">
        <v>2</v>
      </c>
      <c r="F267" s="99"/>
      <c r="G267" s="99">
        <v>9</v>
      </c>
      <c r="H267" s="99" t="s">
        <v>108</v>
      </c>
      <c r="I267" s="99"/>
      <c r="J267" s="99" t="s">
        <v>109</v>
      </c>
      <c r="K267" s="99" t="b">
        <v>0</v>
      </c>
      <c r="L267" s="95">
        <v>2022</v>
      </c>
      <c r="M267" s="96">
        <v>3776147</v>
      </c>
      <c r="N267" s="100">
        <v>41152</v>
      </c>
      <c r="O267" s="100">
        <v>41152</v>
      </c>
    </row>
    <row r="268" spans="1:15" ht="14.25">
      <c r="A268" s="97">
        <v>2012</v>
      </c>
      <c r="B268" s="98" t="s">
        <v>236</v>
      </c>
      <c r="C268" s="98" t="s">
        <v>237</v>
      </c>
      <c r="D268" s="99">
        <v>1425062</v>
      </c>
      <c r="E268" s="99">
        <v>2</v>
      </c>
      <c r="F268" s="99"/>
      <c r="G268" s="99">
        <v>7</v>
      </c>
      <c r="H268" s="99">
        <v>2</v>
      </c>
      <c r="I268" s="99"/>
      <c r="J268" s="99" t="s">
        <v>3</v>
      </c>
      <c r="K268" s="99" t="b">
        <v>1</v>
      </c>
      <c r="L268" s="95">
        <v>2015</v>
      </c>
      <c r="M268" s="96">
        <v>28496008</v>
      </c>
      <c r="N268" s="100">
        <v>41152</v>
      </c>
      <c r="O268" s="100">
        <v>41152</v>
      </c>
    </row>
    <row r="269" spans="1:15" ht="14.25">
      <c r="A269" s="97">
        <v>2012</v>
      </c>
      <c r="B269" s="98" t="s">
        <v>236</v>
      </c>
      <c r="C269" s="98" t="s">
        <v>237</v>
      </c>
      <c r="D269" s="99">
        <v>1425062</v>
      </c>
      <c r="E269" s="99">
        <v>2</v>
      </c>
      <c r="F269" s="99"/>
      <c r="G269" s="99">
        <v>43</v>
      </c>
      <c r="H269" s="99" t="s">
        <v>146</v>
      </c>
      <c r="I269" s="99" t="s">
        <v>253</v>
      </c>
      <c r="J269" s="99" t="s">
        <v>76</v>
      </c>
      <c r="K269" s="99" t="b">
        <v>0</v>
      </c>
      <c r="L269" s="95">
        <v>2020</v>
      </c>
      <c r="M269" s="96">
        <v>0.0203</v>
      </c>
      <c r="N269" s="100">
        <v>41152</v>
      </c>
      <c r="O269" s="100">
        <v>41152</v>
      </c>
    </row>
    <row r="270" spans="1:15" ht="14.25">
      <c r="A270" s="97">
        <v>2012</v>
      </c>
      <c r="B270" s="98" t="s">
        <v>236</v>
      </c>
      <c r="C270" s="98" t="s">
        <v>237</v>
      </c>
      <c r="D270" s="99">
        <v>1425062</v>
      </c>
      <c r="E270" s="99">
        <v>2</v>
      </c>
      <c r="F270" s="99"/>
      <c r="G270" s="99">
        <v>27</v>
      </c>
      <c r="H270" s="99">
        <v>10</v>
      </c>
      <c r="I270" s="99"/>
      <c r="J270" s="99" t="s">
        <v>18</v>
      </c>
      <c r="K270" s="99" t="b">
        <v>0</v>
      </c>
      <c r="L270" s="95">
        <v>2015</v>
      </c>
      <c r="M270" s="96">
        <v>3068000</v>
      </c>
      <c r="N270" s="100">
        <v>41152</v>
      </c>
      <c r="O270" s="100">
        <v>41152</v>
      </c>
    </row>
    <row r="271" spans="1:15" ht="14.25">
      <c r="A271" s="97">
        <v>2012</v>
      </c>
      <c r="B271" s="98" t="s">
        <v>236</v>
      </c>
      <c r="C271" s="98" t="s">
        <v>237</v>
      </c>
      <c r="D271" s="99">
        <v>1425062</v>
      </c>
      <c r="E271" s="99">
        <v>2</v>
      </c>
      <c r="F271" s="99"/>
      <c r="G271" s="99">
        <v>19</v>
      </c>
      <c r="H271" s="99">
        <v>6</v>
      </c>
      <c r="I271" s="99" t="s">
        <v>251</v>
      </c>
      <c r="J271" s="99" t="s">
        <v>123</v>
      </c>
      <c r="K271" s="99" t="b">
        <v>0</v>
      </c>
      <c r="L271" s="95">
        <v>2014</v>
      </c>
      <c r="M271" s="96">
        <v>4052626</v>
      </c>
      <c r="N271" s="100">
        <v>41152</v>
      </c>
      <c r="O271" s="100">
        <v>41152</v>
      </c>
    </row>
    <row r="272" spans="1:15" ht="14.25">
      <c r="A272" s="97">
        <v>2012</v>
      </c>
      <c r="B272" s="98" t="s">
        <v>236</v>
      </c>
      <c r="C272" s="98" t="s">
        <v>237</v>
      </c>
      <c r="D272" s="99">
        <v>1425062</v>
      </c>
      <c r="E272" s="99">
        <v>2</v>
      </c>
      <c r="F272" s="99"/>
      <c r="G272" s="99">
        <v>57</v>
      </c>
      <c r="H272" s="99">
        <v>30</v>
      </c>
      <c r="I272" s="99" t="s">
        <v>240</v>
      </c>
      <c r="J272" s="99" t="s">
        <v>155</v>
      </c>
      <c r="K272" s="99" t="b">
        <v>0</v>
      </c>
      <c r="L272" s="95">
        <v>2020</v>
      </c>
      <c r="M272" s="96">
        <v>500000</v>
      </c>
      <c r="N272" s="100">
        <v>41152</v>
      </c>
      <c r="O272" s="100">
        <v>41152</v>
      </c>
    </row>
    <row r="273" spans="1:15" ht="14.25">
      <c r="A273" s="97">
        <v>2012</v>
      </c>
      <c r="B273" s="98" t="s">
        <v>236</v>
      </c>
      <c r="C273" s="98" t="s">
        <v>237</v>
      </c>
      <c r="D273" s="99">
        <v>1425062</v>
      </c>
      <c r="E273" s="99">
        <v>2</v>
      </c>
      <c r="F273" s="99"/>
      <c r="G273" s="99">
        <v>21</v>
      </c>
      <c r="H273" s="99" t="s">
        <v>124</v>
      </c>
      <c r="I273" s="99"/>
      <c r="J273" s="99" t="s">
        <v>125</v>
      </c>
      <c r="K273" s="99" t="b">
        <v>1</v>
      </c>
      <c r="L273" s="95">
        <v>2022</v>
      </c>
      <c r="M273" s="96">
        <v>1693635</v>
      </c>
      <c r="N273" s="100">
        <v>41152</v>
      </c>
      <c r="O273" s="100">
        <v>41152</v>
      </c>
    </row>
    <row r="274" spans="1:15" ht="14.25">
      <c r="A274" s="97">
        <v>2012</v>
      </c>
      <c r="B274" s="98" t="s">
        <v>236</v>
      </c>
      <c r="C274" s="98" t="s">
        <v>237</v>
      </c>
      <c r="D274" s="99">
        <v>1425062</v>
      </c>
      <c r="E274" s="99">
        <v>2</v>
      </c>
      <c r="F274" s="99"/>
      <c r="G274" s="99">
        <v>40</v>
      </c>
      <c r="H274" s="99">
        <v>18</v>
      </c>
      <c r="I274" s="99" t="s">
        <v>258</v>
      </c>
      <c r="J274" s="99" t="s">
        <v>71</v>
      </c>
      <c r="K274" s="99" t="b">
        <v>0</v>
      </c>
      <c r="L274" s="95">
        <v>2013</v>
      </c>
      <c r="M274" s="96">
        <v>0.3861</v>
      </c>
      <c r="N274" s="100">
        <v>41152</v>
      </c>
      <c r="O274" s="100">
        <v>41152</v>
      </c>
    </row>
    <row r="275" spans="1:15" ht="14.25">
      <c r="A275" s="97">
        <v>2012</v>
      </c>
      <c r="B275" s="98" t="s">
        <v>236</v>
      </c>
      <c r="C275" s="98" t="s">
        <v>237</v>
      </c>
      <c r="D275" s="99">
        <v>1425062</v>
      </c>
      <c r="E275" s="99">
        <v>2</v>
      </c>
      <c r="F275" s="99"/>
      <c r="G275" s="99">
        <v>2</v>
      </c>
      <c r="H275" s="99" t="s">
        <v>96</v>
      </c>
      <c r="I275" s="99"/>
      <c r="J275" s="99" t="s">
        <v>97</v>
      </c>
      <c r="K275" s="99" t="b">
        <v>1</v>
      </c>
      <c r="L275" s="95">
        <v>2013</v>
      </c>
      <c r="M275" s="96">
        <v>29768833</v>
      </c>
      <c r="N275" s="100">
        <v>41152</v>
      </c>
      <c r="O275" s="100">
        <v>41152</v>
      </c>
    </row>
    <row r="276" spans="1:15" ht="14.25">
      <c r="A276" s="97">
        <v>2012</v>
      </c>
      <c r="B276" s="98" t="s">
        <v>236</v>
      </c>
      <c r="C276" s="98" t="s">
        <v>237</v>
      </c>
      <c r="D276" s="99">
        <v>1425062</v>
      </c>
      <c r="E276" s="99">
        <v>2</v>
      </c>
      <c r="F276" s="99"/>
      <c r="G276" s="99">
        <v>46</v>
      </c>
      <c r="H276" s="99">
        <v>21</v>
      </c>
      <c r="I276" s="99" t="s">
        <v>249</v>
      </c>
      <c r="J276" s="99" t="s">
        <v>54</v>
      </c>
      <c r="K276" s="99" t="b">
        <v>1</v>
      </c>
      <c r="L276" s="95">
        <v>2019</v>
      </c>
      <c r="M276" s="96">
        <v>0.0734</v>
      </c>
      <c r="N276" s="100">
        <v>41152</v>
      </c>
      <c r="O276" s="100">
        <v>41152</v>
      </c>
    </row>
    <row r="277" spans="1:15" ht="14.25">
      <c r="A277" s="97">
        <v>2012</v>
      </c>
      <c r="B277" s="98" t="s">
        <v>236</v>
      </c>
      <c r="C277" s="98" t="s">
        <v>237</v>
      </c>
      <c r="D277" s="99">
        <v>1425062</v>
      </c>
      <c r="E277" s="99">
        <v>2</v>
      </c>
      <c r="F277" s="99"/>
      <c r="G277" s="99">
        <v>29</v>
      </c>
      <c r="H277" s="99" t="s">
        <v>136</v>
      </c>
      <c r="I277" s="99"/>
      <c r="J277" s="99" t="s">
        <v>117</v>
      </c>
      <c r="K277" s="99" t="b">
        <v>0</v>
      </c>
      <c r="L277" s="95">
        <v>2015</v>
      </c>
      <c r="M277" s="96">
        <v>2900000</v>
      </c>
      <c r="N277" s="100">
        <v>41152</v>
      </c>
      <c r="O277" s="100">
        <v>41152</v>
      </c>
    </row>
    <row r="278" spans="1:15" ht="14.25">
      <c r="A278" s="97">
        <v>2012</v>
      </c>
      <c r="B278" s="98" t="s">
        <v>236</v>
      </c>
      <c r="C278" s="98" t="s">
        <v>237</v>
      </c>
      <c r="D278" s="99">
        <v>1425062</v>
      </c>
      <c r="E278" s="99">
        <v>2</v>
      </c>
      <c r="F278" s="99"/>
      <c r="G278" s="99">
        <v>50</v>
      </c>
      <c r="H278" s="99">
        <v>23</v>
      </c>
      <c r="I278" s="99" t="s">
        <v>255</v>
      </c>
      <c r="J278" s="99" t="s">
        <v>151</v>
      </c>
      <c r="K278" s="99" t="b">
        <v>1</v>
      </c>
      <c r="L278" s="95">
        <v>2022</v>
      </c>
      <c r="M278" s="96">
        <v>38130238</v>
      </c>
      <c r="N278" s="100">
        <v>41152</v>
      </c>
      <c r="O278" s="100">
        <v>41152</v>
      </c>
    </row>
    <row r="279" spans="1:15" ht="14.25">
      <c r="A279" s="97">
        <v>2012</v>
      </c>
      <c r="B279" s="98" t="s">
        <v>236</v>
      </c>
      <c r="C279" s="98" t="s">
        <v>237</v>
      </c>
      <c r="D279" s="99">
        <v>1425062</v>
      </c>
      <c r="E279" s="99">
        <v>2</v>
      </c>
      <c r="F279" s="99"/>
      <c r="G279" s="99">
        <v>54</v>
      </c>
      <c r="H279" s="99">
        <v>27</v>
      </c>
      <c r="I279" s="99" t="s">
        <v>241</v>
      </c>
      <c r="J279" s="99" t="s">
        <v>46</v>
      </c>
      <c r="K279" s="99" t="b">
        <v>0</v>
      </c>
      <c r="L279" s="95">
        <v>2020</v>
      </c>
      <c r="M279" s="96">
        <v>34741407</v>
      </c>
      <c r="N279" s="100">
        <v>41152</v>
      </c>
      <c r="O279" s="100">
        <v>41152</v>
      </c>
    </row>
    <row r="280" spans="1:15" ht="14.25">
      <c r="A280" s="97">
        <v>2012</v>
      </c>
      <c r="B280" s="98" t="s">
        <v>236</v>
      </c>
      <c r="C280" s="98" t="s">
        <v>237</v>
      </c>
      <c r="D280" s="99">
        <v>1425062</v>
      </c>
      <c r="E280" s="99">
        <v>2</v>
      </c>
      <c r="F280" s="99"/>
      <c r="G280" s="99">
        <v>1</v>
      </c>
      <c r="H280" s="99">
        <v>1</v>
      </c>
      <c r="I280" s="99" t="s">
        <v>252</v>
      </c>
      <c r="J280" s="99" t="s">
        <v>95</v>
      </c>
      <c r="K280" s="99" t="b">
        <v>1</v>
      </c>
      <c r="L280" s="95">
        <v>2017</v>
      </c>
      <c r="M280" s="96">
        <v>32991479</v>
      </c>
      <c r="N280" s="100">
        <v>41152</v>
      </c>
      <c r="O280" s="100">
        <v>41152</v>
      </c>
    </row>
    <row r="281" spans="1:15" ht="14.25">
      <c r="A281" s="97">
        <v>2012</v>
      </c>
      <c r="B281" s="98" t="s">
        <v>236</v>
      </c>
      <c r="C281" s="98" t="s">
        <v>237</v>
      </c>
      <c r="D281" s="99">
        <v>1425062</v>
      </c>
      <c r="E281" s="99">
        <v>2</v>
      </c>
      <c r="F281" s="99"/>
      <c r="G281" s="99">
        <v>19</v>
      </c>
      <c r="H281" s="99">
        <v>6</v>
      </c>
      <c r="I281" s="99" t="s">
        <v>251</v>
      </c>
      <c r="J281" s="99" t="s">
        <v>123</v>
      </c>
      <c r="K281" s="99" t="b">
        <v>0</v>
      </c>
      <c r="L281" s="95">
        <v>2016</v>
      </c>
      <c r="M281" s="96">
        <v>4310444</v>
      </c>
      <c r="N281" s="100">
        <v>41152</v>
      </c>
      <c r="O281" s="100">
        <v>41152</v>
      </c>
    </row>
    <row r="282" spans="1:15" ht="14.25">
      <c r="A282" s="97">
        <v>2012</v>
      </c>
      <c r="B282" s="98" t="s">
        <v>236</v>
      </c>
      <c r="C282" s="98" t="s">
        <v>237</v>
      </c>
      <c r="D282" s="99">
        <v>1425062</v>
      </c>
      <c r="E282" s="99">
        <v>2</v>
      </c>
      <c r="F282" s="99"/>
      <c r="G282" s="99">
        <v>24</v>
      </c>
      <c r="H282" s="99" t="s">
        <v>130</v>
      </c>
      <c r="I282" s="99"/>
      <c r="J282" s="99" t="s">
        <v>131</v>
      </c>
      <c r="K282" s="99" t="b">
        <v>1</v>
      </c>
      <c r="L282" s="95">
        <v>2022</v>
      </c>
      <c r="M282" s="96">
        <v>120000</v>
      </c>
      <c r="N282" s="100">
        <v>41152</v>
      </c>
      <c r="O282" s="100">
        <v>41152</v>
      </c>
    </row>
    <row r="283" spans="1:15" ht="14.25">
      <c r="A283" s="97">
        <v>2012</v>
      </c>
      <c r="B283" s="98" t="s">
        <v>236</v>
      </c>
      <c r="C283" s="98" t="s">
        <v>237</v>
      </c>
      <c r="D283" s="99">
        <v>1425062</v>
      </c>
      <c r="E283" s="99">
        <v>2</v>
      </c>
      <c r="F283" s="99"/>
      <c r="G283" s="99">
        <v>50</v>
      </c>
      <c r="H283" s="99">
        <v>23</v>
      </c>
      <c r="I283" s="99" t="s">
        <v>255</v>
      </c>
      <c r="J283" s="99" t="s">
        <v>151</v>
      </c>
      <c r="K283" s="99" t="b">
        <v>1</v>
      </c>
      <c r="L283" s="95">
        <v>2019</v>
      </c>
      <c r="M283" s="96">
        <v>34994570</v>
      </c>
      <c r="N283" s="100">
        <v>41152</v>
      </c>
      <c r="O283" s="100">
        <v>41152</v>
      </c>
    </row>
    <row r="284" spans="1:15" ht="14.25">
      <c r="A284" s="97">
        <v>2012</v>
      </c>
      <c r="B284" s="98" t="s">
        <v>236</v>
      </c>
      <c r="C284" s="98" t="s">
        <v>237</v>
      </c>
      <c r="D284" s="99">
        <v>1425062</v>
      </c>
      <c r="E284" s="99">
        <v>2</v>
      </c>
      <c r="F284" s="99"/>
      <c r="G284" s="99">
        <v>45</v>
      </c>
      <c r="H284" s="99" t="s">
        <v>148</v>
      </c>
      <c r="I284" s="99" t="s">
        <v>238</v>
      </c>
      <c r="J284" s="99" t="s">
        <v>53</v>
      </c>
      <c r="K284" s="99" t="b">
        <v>0</v>
      </c>
      <c r="L284" s="95">
        <v>2014</v>
      </c>
      <c r="M284" s="96">
        <v>0.044</v>
      </c>
      <c r="N284" s="100">
        <v>41152</v>
      </c>
      <c r="O284" s="100">
        <v>41152</v>
      </c>
    </row>
    <row r="285" spans="1:15" ht="14.25">
      <c r="A285" s="97">
        <v>2012</v>
      </c>
      <c r="B285" s="98" t="s">
        <v>236</v>
      </c>
      <c r="C285" s="98" t="s">
        <v>237</v>
      </c>
      <c r="D285" s="99">
        <v>1425062</v>
      </c>
      <c r="E285" s="99">
        <v>2</v>
      </c>
      <c r="F285" s="99"/>
      <c r="G285" s="99">
        <v>2</v>
      </c>
      <c r="H285" s="99" t="s">
        <v>96</v>
      </c>
      <c r="I285" s="99"/>
      <c r="J285" s="99" t="s">
        <v>97</v>
      </c>
      <c r="K285" s="99" t="b">
        <v>1</v>
      </c>
      <c r="L285" s="95">
        <v>2016</v>
      </c>
      <c r="M285" s="96">
        <v>31983475</v>
      </c>
      <c r="N285" s="100">
        <v>41152</v>
      </c>
      <c r="O285" s="100">
        <v>41152</v>
      </c>
    </row>
    <row r="286" spans="1:15" ht="14.25">
      <c r="A286" s="97">
        <v>2012</v>
      </c>
      <c r="B286" s="98" t="s">
        <v>236</v>
      </c>
      <c r="C286" s="98" t="s">
        <v>237</v>
      </c>
      <c r="D286" s="99">
        <v>1425062</v>
      </c>
      <c r="E286" s="99">
        <v>2</v>
      </c>
      <c r="F286" s="99"/>
      <c r="G286" s="99">
        <v>33</v>
      </c>
      <c r="H286" s="99">
        <v>13</v>
      </c>
      <c r="I286" s="99"/>
      <c r="J286" s="99" t="s">
        <v>68</v>
      </c>
      <c r="K286" s="99" t="b">
        <v>1</v>
      </c>
      <c r="L286" s="95">
        <v>2017</v>
      </c>
      <c r="M286" s="96">
        <v>9160211</v>
      </c>
      <c r="N286" s="100">
        <v>41152</v>
      </c>
      <c r="O286" s="100">
        <v>41152</v>
      </c>
    </row>
    <row r="287" spans="1:15" ht="14.25">
      <c r="A287" s="97">
        <v>2012</v>
      </c>
      <c r="B287" s="98" t="s">
        <v>236</v>
      </c>
      <c r="C287" s="98" t="s">
        <v>237</v>
      </c>
      <c r="D287" s="99">
        <v>1425062</v>
      </c>
      <c r="E287" s="99">
        <v>2</v>
      </c>
      <c r="F287" s="99"/>
      <c r="G287" s="99">
        <v>41</v>
      </c>
      <c r="H287" s="99" t="s">
        <v>145</v>
      </c>
      <c r="I287" s="99" t="s">
        <v>256</v>
      </c>
      <c r="J287" s="99" t="s">
        <v>73</v>
      </c>
      <c r="K287" s="99" t="b">
        <v>0</v>
      </c>
      <c r="L287" s="95">
        <v>2015</v>
      </c>
      <c r="M287" s="96">
        <v>0.3473</v>
      </c>
      <c r="N287" s="100">
        <v>41152</v>
      </c>
      <c r="O287" s="100">
        <v>41152</v>
      </c>
    </row>
    <row r="288" spans="1:15" ht="14.25">
      <c r="A288" s="97">
        <v>2012</v>
      </c>
      <c r="B288" s="98" t="s">
        <v>236</v>
      </c>
      <c r="C288" s="98" t="s">
        <v>237</v>
      </c>
      <c r="D288" s="99">
        <v>1425062</v>
      </c>
      <c r="E288" s="99">
        <v>2</v>
      </c>
      <c r="F288" s="99"/>
      <c r="G288" s="99">
        <v>23</v>
      </c>
      <c r="H288" s="99" t="s">
        <v>128</v>
      </c>
      <c r="I288" s="99"/>
      <c r="J288" s="99" t="s">
        <v>129</v>
      </c>
      <c r="K288" s="99" t="b">
        <v>1</v>
      </c>
      <c r="L288" s="95">
        <v>2012</v>
      </c>
      <c r="M288" s="96">
        <v>636000</v>
      </c>
      <c r="N288" s="100">
        <v>41152</v>
      </c>
      <c r="O288" s="100">
        <v>41152</v>
      </c>
    </row>
    <row r="289" spans="1:15" ht="14.25">
      <c r="A289" s="97">
        <v>2012</v>
      </c>
      <c r="B289" s="98" t="s">
        <v>236</v>
      </c>
      <c r="C289" s="98" t="s">
        <v>237</v>
      </c>
      <c r="D289" s="99">
        <v>1425062</v>
      </c>
      <c r="E289" s="99">
        <v>2</v>
      </c>
      <c r="F289" s="99"/>
      <c r="G289" s="99">
        <v>48</v>
      </c>
      <c r="H289" s="99">
        <v>22</v>
      </c>
      <c r="I289" s="99" t="s">
        <v>242</v>
      </c>
      <c r="J289" s="99" t="s">
        <v>79</v>
      </c>
      <c r="K289" s="99" t="b">
        <v>0</v>
      </c>
      <c r="L289" s="95">
        <v>2015</v>
      </c>
      <c r="M289" s="96">
        <v>0.0593</v>
      </c>
      <c r="N289" s="100">
        <v>41152</v>
      </c>
      <c r="O289" s="100">
        <v>41152</v>
      </c>
    </row>
    <row r="290" spans="1:15" ht="14.25">
      <c r="A290" s="97">
        <v>2012</v>
      </c>
      <c r="B290" s="98" t="s">
        <v>236</v>
      </c>
      <c r="C290" s="98" t="s">
        <v>237</v>
      </c>
      <c r="D290" s="99">
        <v>1425062</v>
      </c>
      <c r="E290" s="99">
        <v>2</v>
      </c>
      <c r="F290" s="99"/>
      <c r="G290" s="99">
        <v>7</v>
      </c>
      <c r="H290" s="99">
        <v>2</v>
      </c>
      <c r="I290" s="99"/>
      <c r="J290" s="99" t="s">
        <v>3</v>
      </c>
      <c r="K290" s="99" t="b">
        <v>1</v>
      </c>
      <c r="L290" s="95">
        <v>2016</v>
      </c>
      <c r="M290" s="96">
        <v>29288344</v>
      </c>
      <c r="N290" s="100">
        <v>41152</v>
      </c>
      <c r="O290" s="100">
        <v>41152</v>
      </c>
    </row>
    <row r="291" spans="1:15" ht="14.25">
      <c r="A291" s="97">
        <v>2012</v>
      </c>
      <c r="B291" s="98" t="s">
        <v>236</v>
      </c>
      <c r="C291" s="98" t="s">
        <v>237</v>
      </c>
      <c r="D291" s="99">
        <v>1425062</v>
      </c>
      <c r="E291" s="99">
        <v>2</v>
      </c>
      <c r="F291" s="99"/>
      <c r="G291" s="99">
        <v>27</v>
      </c>
      <c r="H291" s="99">
        <v>10</v>
      </c>
      <c r="I291" s="99"/>
      <c r="J291" s="99" t="s">
        <v>18</v>
      </c>
      <c r="K291" s="99" t="b">
        <v>0</v>
      </c>
      <c r="L291" s="95">
        <v>2014</v>
      </c>
      <c r="M291" s="96">
        <v>3068000</v>
      </c>
      <c r="N291" s="100">
        <v>41152</v>
      </c>
      <c r="O291" s="100">
        <v>41152</v>
      </c>
    </row>
    <row r="292" spans="1:15" ht="14.25">
      <c r="A292" s="97">
        <v>2012</v>
      </c>
      <c r="B292" s="98" t="s">
        <v>236</v>
      </c>
      <c r="C292" s="98" t="s">
        <v>237</v>
      </c>
      <c r="D292" s="99">
        <v>1425062</v>
      </c>
      <c r="E292" s="99">
        <v>2</v>
      </c>
      <c r="F292" s="99"/>
      <c r="G292" s="99">
        <v>2</v>
      </c>
      <c r="H292" s="99" t="s">
        <v>96</v>
      </c>
      <c r="I292" s="99"/>
      <c r="J292" s="99" t="s">
        <v>97</v>
      </c>
      <c r="K292" s="99" t="b">
        <v>1</v>
      </c>
      <c r="L292" s="95">
        <v>2021</v>
      </c>
      <c r="M292" s="96">
        <v>37019649</v>
      </c>
      <c r="N292" s="100">
        <v>41152</v>
      </c>
      <c r="O292" s="100">
        <v>41152</v>
      </c>
    </row>
    <row r="293" spans="1:15" ht="14.25">
      <c r="A293" s="97">
        <v>2012</v>
      </c>
      <c r="B293" s="98" t="s">
        <v>236</v>
      </c>
      <c r="C293" s="98" t="s">
        <v>237</v>
      </c>
      <c r="D293" s="99">
        <v>1425062</v>
      </c>
      <c r="E293" s="99">
        <v>2</v>
      </c>
      <c r="F293" s="99"/>
      <c r="G293" s="99">
        <v>27</v>
      </c>
      <c r="H293" s="99">
        <v>10</v>
      </c>
      <c r="I293" s="99"/>
      <c r="J293" s="99" t="s">
        <v>18</v>
      </c>
      <c r="K293" s="99" t="b">
        <v>0</v>
      </c>
      <c r="L293" s="95">
        <v>2019</v>
      </c>
      <c r="M293" s="96">
        <v>842279</v>
      </c>
      <c r="N293" s="100">
        <v>41152</v>
      </c>
      <c r="O293" s="100">
        <v>41152</v>
      </c>
    </row>
    <row r="294" spans="1:15" ht="14.25">
      <c r="A294" s="97">
        <v>2012</v>
      </c>
      <c r="B294" s="98" t="s">
        <v>236</v>
      </c>
      <c r="C294" s="98" t="s">
        <v>237</v>
      </c>
      <c r="D294" s="99">
        <v>1425062</v>
      </c>
      <c r="E294" s="99">
        <v>2</v>
      </c>
      <c r="F294" s="99"/>
      <c r="G294" s="99">
        <v>40</v>
      </c>
      <c r="H294" s="99">
        <v>18</v>
      </c>
      <c r="I294" s="99" t="s">
        <v>258</v>
      </c>
      <c r="J294" s="99" t="s">
        <v>71</v>
      </c>
      <c r="K294" s="99" t="b">
        <v>0</v>
      </c>
      <c r="L294" s="95">
        <v>2015</v>
      </c>
      <c r="M294" s="96">
        <v>0.3473</v>
      </c>
      <c r="N294" s="100">
        <v>41152</v>
      </c>
      <c r="O294" s="100">
        <v>41152</v>
      </c>
    </row>
    <row r="295" spans="1:15" ht="14.25">
      <c r="A295" s="97">
        <v>2012</v>
      </c>
      <c r="B295" s="98" t="s">
        <v>236</v>
      </c>
      <c r="C295" s="98" t="s">
        <v>237</v>
      </c>
      <c r="D295" s="99">
        <v>1425062</v>
      </c>
      <c r="E295" s="99">
        <v>2</v>
      </c>
      <c r="F295" s="99"/>
      <c r="G295" s="99">
        <v>46</v>
      </c>
      <c r="H295" s="99">
        <v>21</v>
      </c>
      <c r="I295" s="99" t="s">
        <v>249</v>
      </c>
      <c r="J295" s="99" t="s">
        <v>54</v>
      </c>
      <c r="K295" s="99" t="b">
        <v>1</v>
      </c>
      <c r="L295" s="95">
        <v>2020</v>
      </c>
      <c r="M295" s="96">
        <v>0.0203</v>
      </c>
      <c r="N295" s="100">
        <v>41152</v>
      </c>
      <c r="O295" s="100">
        <v>41152</v>
      </c>
    </row>
    <row r="296" spans="1:15" ht="14.25">
      <c r="A296" s="97">
        <v>2012</v>
      </c>
      <c r="B296" s="98" t="s">
        <v>236</v>
      </c>
      <c r="C296" s="98" t="s">
        <v>237</v>
      </c>
      <c r="D296" s="99">
        <v>1425062</v>
      </c>
      <c r="E296" s="99">
        <v>2</v>
      </c>
      <c r="F296" s="99"/>
      <c r="G296" s="99">
        <v>9</v>
      </c>
      <c r="H296" s="99" t="s">
        <v>108</v>
      </c>
      <c r="I296" s="99"/>
      <c r="J296" s="99" t="s">
        <v>109</v>
      </c>
      <c r="K296" s="99" t="b">
        <v>0</v>
      </c>
      <c r="L296" s="95">
        <v>2017</v>
      </c>
      <c r="M296" s="96">
        <v>3350627</v>
      </c>
      <c r="N296" s="100">
        <v>41152</v>
      </c>
      <c r="O296" s="100">
        <v>41152</v>
      </c>
    </row>
    <row r="297" spans="1:15" ht="14.25">
      <c r="A297" s="97">
        <v>2012</v>
      </c>
      <c r="B297" s="98" t="s">
        <v>236</v>
      </c>
      <c r="C297" s="98" t="s">
        <v>237</v>
      </c>
      <c r="D297" s="99">
        <v>1425062</v>
      </c>
      <c r="E297" s="99">
        <v>2</v>
      </c>
      <c r="F297" s="99"/>
      <c r="G297" s="99">
        <v>30</v>
      </c>
      <c r="H297" s="99">
        <v>11</v>
      </c>
      <c r="I297" s="99"/>
      <c r="J297" s="99" t="s">
        <v>64</v>
      </c>
      <c r="K297" s="99" t="b">
        <v>1</v>
      </c>
      <c r="L297" s="95">
        <v>2016</v>
      </c>
      <c r="M297" s="96">
        <v>1061703</v>
      </c>
      <c r="N297" s="100">
        <v>41152</v>
      </c>
      <c r="O297" s="100">
        <v>41152</v>
      </c>
    </row>
    <row r="298" spans="1:15" ht="14.25">
      <c r="A298" s="97">
        <v>2012</v>
      </c>
      <c r="B298" s="98" t="s">
        <v>236</v>
      </c>
      <c r="C298" s="98" t="s">
        <v>237</v>
      </c>
      <c r="D298" s="99">
        <v>1425062</v>
      </c>
      <c r="E298" s="99">
        <v>2</v>
      </c>
      <c r="F298" s="99"/>
      <c r="G298" s="99">
        <v>33</v>
      </c>
      <c r="H298" s="99">
        <v>13</v>
      </c>
      <c r="I298" s="99"/>
      <c r="J298" s="99" t="s">
        <v>68</v>
      </c>
      <c r="K298" s="99" t="b">
        <v>1</v>
      </c>
      <c r="L298" s="95">
        <v>2021</v>
      </c>
      <c r="M298" s="96">
        <v>1693635</v>
      </c>
      <c r="N298" s="100">
        <v>41152</v>
      </c>
      <c r="O298" s="100">
        <v>41152</v>
      </c>
    </row>
    <row r="299" spans="1:15" ht="14.25">
      <c r="A299" s="97">
        <v>2012</v>
      </c>
      <c r="B299" s="98" t="s">
        <v>236</v>
      </c>
      <c r="C299" s="98" t="s">
        <v>237</v>
      </c>
      <c r="D299" s="99">
        <v>1425062</v>
      </c>
      <c r="E299" s="99">
        <v>2</v>
      </c>
      <c r="F299" s="99"/>
      <c r="G299" s="99">
        <v>7</v>
      </c>
      <c r="H299" s="99">
        <v>2</v>
      </c>
      <c r="I299" s="99"/>
      <c r="J299" s="99" t="s">
        <v>3</v>
      </c>
      <c r="K299" s="99" t="b">
        <v>1</v>
      </c>
      <c r="L299" s="95">
        <v>2013</v>
      </c>
      <c r="M299" s="96">
        <v>26865233</v>
      </c>
      <c r="N299" s="100">
        <v>41152</v>
      </c>
      <c r="O299" s="100">
        <v>41152</v>
      </c>
    </row>
    <row r="300" spans="1:15" ht="14.25">
      <c r="A300" s="97">
        <v>2012</v>
      </c>
      <c r="B300" s="98" t="s">
        <v>236</v>
      </c>
      <c r="C300" s="98" t="s">
        <v>237</v>
      </c>
      <c r="D300" s="99">
        <v>1425062</v>
      </c>
      <c r="E300" s="99">
        <v>2</v>
      </c>
      <c r="F300" s="99"/>
      <c r="G300" s="99">
        <v>42</v>
      </c>
      <c r="H300" s="99">
        <v>19</v>
      </c>
      <c r="I300" s="99" t="s">
        <v>247</v>
      </c>
      <c r="J300" s="99" t="s">
        <v>74</v>
      </c>
      <c r="K300" s="99" t="b">
        <v>1</v>
      </c>
      <c r="L300" s="95">
        <v>2018</v>
      </c>
      <c r="M300" s="96">
        <v>0.0649</v>
      </c>
      <c r="N300" s="100">
        <v>41152</v>
      </c>
      <c r="O300" s="100">
        <v>41152</v>
      </c>
    </row>
    <row r="301" spans="1:15" ht="14.25">
      <c r="A301" s="97">
        <v>2012</v>
      </c>
      <c r="B301" s="98" t="s">
        <v>236</v>
      </c>
      <c r="C301" s="98" t="s">
        <v>237</v>
      </c>
      <c r="D301" s="99">
        <v>1425062</v>
      </c>
      <c r="E301" s="99">
        <v>2</v>
      </c>
      <c r="F301" s="99"/>
      <c r="G301" s="99">
        <v>7</v>
      </c>
      <c r="H301" s="99">
        <v>2</v>
      </c>
      <c r="I301" s="99"/>
      <c r="J301" s="99" t="s">
        <v>3</v>
      </c>
      <c r="K301" s="99" t="b">
        <v>1</v>
      </c>
      <c r="L301" s="95">
        <v>2014</v>
      </c>
      <c r="M301" s="96">
        <v>27741737</v>
      </c>
      <c r="N301" s="100">
        <v>41152</v>
      </c>
      <c r="O301" s="100">
        <v>41152</v>
      </c>
    </row>
    <row r="302" spans="1:15" ht="14.25">
      <c r="A302" s="97">
        <v>2012</v>
      </c>
      <c r="B302" s="98" t="s">
        <v>236</v>
      </c>
      <c r="C302" s="98" t="s">
        <v>237</v>
      </c>
      <c r="D302" s="99">
        <v>1425062</v>
      </c>
      <c r="E302" s="99">
        <v>2</v>
      </c>
      <c r="F302" s="99"/>
      <c r="G302" s="99">
        <v>6</v>
      </c>
      <c r="H302" s="99" t="s">
        <v>104</v>
      </c>
      <c r="I302" s="99"/>
      <c r="J302" s="99" t="s">
        <v>105</v>
      </c>
      <c r="K302" s="99" t="b">
        <v>1</v>
      </c>
      <c r="L302" s="95">
        <v>2013</v>
      </c>
      <c r="M302" s="96">
        <v>1515000</v>
      </c>
      <c r="N302" s="100">
        <v>41152</v>
      </c>
      <c r="O302" s="100">
        <v>41152</v>
      </c>
    </row>
    <row r="303" spans="1:15" ht="14.25">
      <c r="A303" s="97">
        <v>2012</v>
      </c>
      <c r="B303" s="98" t="s">
        <v>236</v>
      </c>
      <c r="C303" s="98" t="s">
        <v>237</v>
      </c>
      <c r="D303" s="99">
        <v>1425062</v>
      </c>
      <c r="E303" s="99">
        <v>2</v>
      </c>
      <c r="F303" s="99"/>
      <c r="G303" s="99">
        <v>43</v>
      </c>
      <c r="H303" s="99" t="s">
        <v>146</v>
      </c>
      <c r="I303" s="99" t="s">
        <v>253</v>
      </c>
      <c r="J303" s="99" t="s">
        <v>76</v>
      </c>
      <c r="K303" s="99" t="b">
        <v>0</v>
      </c>
      <c r="L303" s="95">
        <v>2017</v>
      </c>
      <c r="M303" s="96">
        <v>0.062</v>
      </c>
      <c r="N303" s="100">
        <v>41152</v>
      </c>
      <c r="O303" s="100">
        <v>41152</v>
      </c>
    </row>
    <row r="304" spans="1:15" ht="14.25">
      <c r="A304" s="97">
        <v>2012</v>
      </c>
      <c r="B304" s="98" t="s">
        <v>236</v>
      </c>
      <c r="C304" s="98" t="s">
        <v>237</v>
      </c>
      <c r="D304" s="99">
        <v>1425062</v>
      </c>
      <c r="E304" s="99">
        <v>2</v>
      </c>
      <c r="F304" s="99"/>
      <c r="G304" s="99">
        <v>8</v>
      </c>
      <c r="H304" s="99" t="s">
        <v>106</v>
      </c>
      <c r="I304" s="99"/>
      <c r="J304" s="99" t="s">
        <v>107</v>
      </c>
      <c r="K304" s="99" t="b">
        <v>0</v>
      </c>
      <c r="L304" s="95">
        <v>2021</v>
      </c>
      <c r="M304" s="96">
        <v>18456241</v>
      </c>
      <c r="N304" s="100">
        <v>41152</v>
      </c>
      <c r="O304" s="100">
        <v>41152</v>
      </c>
    </row>
    <row r="305" spans="1:15" ht="14.25">
      <c r="A305" s="97">
        <v>2012</v>
      </c>
      <c r="B305" s="98" t="s">
        <v>236</v>
      </c>
      <c r="C305" s="98" t="s">
        <v>237</v>
      </c>
      <c r="D305" s="99">
        <v>1425062</v>
      </c>
      <c r="E305" s="99">
        <v>2</v>
      </c>
      <c r="F305" s="99"/>
      <c r="G305" s="99">
        <v>19</v>
      </c>
      <c r="H305" s="99">
        <v>6</v>
      </c>
      <c r="I305" s="99" t="s">
        <v>251</v>
      </c>
      <c r="J305" s="99" t="s">
        <v>123</v>
      </c>
      <c r="K305" s="99" t="b">
        <v>0</v>
      </c>
      <c r="L305" s="95">
        <v>2020</v>
      </c>
      <c r="M305" s="96">
        <v>2326459</v>
      </c>
      <c r="N305" s="100">
        <v>41152</v>
      </c>
      <c r="O305" s="100">
        <v>41152</v>
      </c>
    </row>
    <row r="306" spans="1:15" ht="14.25">
      <c r="A306" s="97">
        <v>2012</v>
      </c>
      <c r="B306" s="98" t="s">
        <v>236</v>
      </c>
      <c r="C306" s="98" t="s">
        <v>237</v>
      </c>
      <c r="D306" s="99">
        <v>1425062</v>
      </c>
      <c r="E306" s="99">
        <v>2</v>
      </c>
      <c r="F306" s="99"/>
      <c r="G306" s="99">
        <v>50</v>
      </c>
      <c r="H306" s="99">
        <v>23</v>
      </c>
      <c r="I306" s="99" t="s">
        <v>255</v>
      </c>
      <c r="J306" s="99" t="s">
        <v>151</v>
      </c>
      <c r="K306" s="99" t="b">
        <v>1</v>
      </c>
      <c r="L306" s="95">
        <v>2021</v>
      </c>
      <c r="M306" s="96">
        <v>37019649</v>
      </c>
      <c r="N306" s="100">
        <v>41152</v>
      </c>
      <c r="O306" s="100">
        <v>41152</v>
      </c>
    </row>
    <row r="307" spans="1:15" ht="14.25">
      <c r="A307" s="97">
        <v>2012</v>
      </c>
      <c r="B307" s="98" t="s">
        <v>236</v>
      </c>
      <c r="C307" s="98" t="s">
        <v>237</v>
      </c>
      <c r="D307" s="99">
        <v>1425062</v>
      </c>
      <c r="E307" s="99">
        <v>2</v>
      </c>
      <c r="F307" s="99"/>
      <c r="G307" s="99">
        <v>44</v>
      </c>
      <c r="H307" s="99">
        <v>20</v>
      </c>
      <c r="I307" s="99" t="s">
        <v>245</v>
      </c>
      <c r="J307" s="99" t="s">
        <v>147</v>
      </c>
      <c r="K307" s="99" t="b">
        <v>1</v>
      </c>
      <c r="L307" s="95">
        <v>2022</v>
      </c>
      <c r="M307" s="96">
        <v>0.0997</v>
      </c>
      <c r="N307" s="100">
        <v>41152</v>
      </c>
      <c r="O307" s="100">
        <v>41152</v>
      </c>
    </row>
    <row r="308" spans="1:15" ht="14.25">
      <c r="A308" s="97">
        <v>2012</v>
      </c>
      <c r="B308" s="98" t="s">
        <v>236</v>
      </c>
      <c r="C308" s="98" t="s">
        <v>237</v>
      </c>
      <c r="D308" s="99">
        <v>1425062</v>
      </c>
      <c r="E308" s="99">
        <v>2</v>
      </c>
      <c r="F308" s="99"/>
      <c r="G308" s="99">
        <v>2</v>
      </c>
      <c r="H308" s="99" t="s">
        <v>96</v>
      </c>
      <c r="I308" s="99"/>
      <c r="J308" s="99" t="s">
        <v>97</v>
      </c>
      <c r="K308" s="99" t="b">
        <v>1</v>
      </c>
      <c r="L308" s="95">
        <v>2014</v>
      </c>
      <c r="M308" s="96">
        <v>30279363</v>
      </c>
      <c r="N308" s="100">
        <v>41152</v>
      </c>
      <c r="O308" s="100">
        <v>41152</v>
      </c>
    </row>
    <row r="309" spans="1:15" ht="14.25">
      <c r="A309" s="97">
        <v>2012</v>
      </c>
      <c r="B309" s="98" t="s">
        <v>236</v>
      </c>
      <c r="C309" s="98" t="s">
        <v>237</v>
      </c>
      <c r="D309" s="99">
        <v>1425062</v>
      </c>
      <c r="E309" s="99">
        <v>2</v>
      </c>
      <c r="F309" s="99"/>
      <c r="G309" s="99">
        <v>42</v>
      </c>
      <c r="H309" s="99">
        <v>19</v>
      </c>
      <c r="I309" s="99" t="s">
        <v>247</v>
      </c>
      <c r="J309" s="99" t="s">
        <v>74</v>
      </c>
      <c r="K309" s="99" t="b">
        <v>1</v>
      </c>
      <c r="L309" s="95">
        <v>2022</v>
      </c>
      <c r="M309" s="96">
        <v>0.0476</v>
      </c>
      <c r="N309" s="100">
        <v>41152</v>
      </c>
      <c r="O309" s="100">
        <v>41152</v>
      </c>
    </row>
    <row r="310" spans="1:15" ht="14.25">
      <c r="A310" s="97">
        <v>2012</v>
      </c>
      <c r="B310" s="98" t="s">
        <v>236</v>
      </c>
      <c r="C310" s="98" t="s">
        <v>237</v>
      </c>
      <c r="D310" s="99">
        <v>1425062</v>
      </c>
      <c r="E310" s="99">
        <v>2</v>
      </c>
      <c r="F310" s="99"/>
      <c r="G310" s="99">
        <v>52</v>
      </c>
      <c r="H310" s="99">
        <v>25</v>
      </c>
      <c r="I310" s="99" t="s">
        <v>254</v>
      </c>
      <c r="J310" s="99" t="s">
        <v>49</v>
      </c>
      <c r="K310" s="99" t="b">
        <v>1</v>
      </c>
      <c r="L310" s="95">
        <v>2016</v>
      </c>
      <c r="M310" s="96">
        <v>2195131</v>
      </c>
      <c r="N310" s="100">
        <v>41152</v>
      </c>
      <c r="O310" s="100">
        <v>41152</v>
      </c>
    </row>
    <row r="311" spans="1:15" ht="14.25">
      <c r="A311" s="97">
        <v>2012</v>
      </c>
      <c r="B311" s="98" t="s">
        <v>236</v>
      </c>
      <c r="C311" s="98" t="s">
        <v>237</v>
      </c>
      <c r="D311" s="99">
        <v>1425062</v>
      </c>
      <c r="E311" s="99">
        <v>2</v>
      </c>
      <c r="F311" s="99"/>
      <c r="G311" s="99">
        <v>7</v>
      </c>
      <c r="H311" s="99">
        <v>2</v>
      </c>
      <c r="I311" s="99"/>
      <c r="J311" s="99" t="s">
        <v>3</v>
      </c>
      <c r="K311" s="99" t="b">
        <v>1</v>
      </c>
      <c r="L311" s="95">
        <v>2019</v>
      </c>
      <c r="M311" s="96">
        <v>31582291</v>
      </c>
      <c r="N311" s="100">
        <v>41152</v>
      </c>
      <c r="O311" s="100">
        <v>41152</v>
      </c>
    </row>
    <row r="312" spans="1:15" ht="14.25">
      <c r="A312" s="97">
        <v>2012</v>
      </c>
      <c r="B312" s="98" t="s">
        <v>236</v>
      </c>
      <c r="C312" s="98" t="s">
        <v>237</v>
      </c>
      <c r="D312" s="99">
        <v>1425062</v>
      </c>
      <c r="E312" s="99">
        <v>2</v>
      </c>
      <c r="F312" s="99"/>
      <c r="G312" s="99">
        <v>13</v>
      </c>
      <c r="H312" s="99" t="s">
        <v>116</v>
      </c>
      <c r="I312" s="99"/>
      <c r="J312" s="99" t="s">
        <v>117</v>
      </c>
      <c r="K312" s="99" t="b">
        <v>0</v>
      </c>
      <c r="L312" s="95">
        <v>2014</v>
      </c>
      <c r="M312" s="96">
        <v>200000</v>
      </c>
      <c r="N312" s="100">
        <v>41152</v>
      </c>
      <c r="O312" s="100">
        <v>41152</v>
      </c>
    </row>
    <row r="313" spans="1:15" ht="14.25">
      <c r="A313" s="97">
        <v>2012</v>
      </c>
      <c r="B313" s="98" t="s">
        <v>236</v>
      </c>
      <c r="C313" s="98" t="s">
        <v>237</v>
      </c>
      <c r="D313" s="99">
        <v>1425062</v>
      </c>
      <c r="E313" s="99">
        <v>2</v>
      </c>
      <c r="F313" s="99"/>
      <c r="G313" s="99">
        <v>37</v>
      </c>
      <c r="H313" s="99">
        <v>16</v>
      </c>
      <c r="I313" s="99"/>
      <c r="J313" s="99" t="s">
        <v>142</v>
      </c>
      <c r="K313" s="99" t="b">
        <v>1</v>
      </c>
      <c r="L313" s="95">
        <v>2016</v>
      </c>
      <c r="M313" s="96">
        <v>438297</v>
      </c>
      <c r="N313" s="100">
        <v>41152</v>
      </c>
      <c r="O313" s="100">
        <v>41152</v>
      </c>
    </row>
    <row r="314" spans="1:15" ht="14.25">
      <c r="A314" s="97">
        <v>2012</v>
      </c>
      <c r="B314" s="98" t="s">
        <v>236</v>
      </c>
      <c r="C314" s="98" t="s">
        <v>237</v>
      </c>
      <c r="D314" s="99">
        <v>1425062</v>
      </c>
      <c r="E314" s="99">
        <v>2</v>
      </c>
      <c r="F314" s="99"/>
      <c r="G314" s="99">
        <v>43</v>
      </c>
      <c r="H314" s="99" t="s">
        <v>146</v>
      </c>
      <c r="I314" s="99" t="s">
        <v>253</v>
      </c>
      <c r="J314" s="99" t="s">
        <v>76</v>
      </c>
      <c r="K314" s="99" t="b">
        <v>0</v>
      </c>
      <c r="L314" s="95">
        <v>2019</v>
      </c>
      <c r="M314" s="96">
        <v>0.0734</v>
      </c>
      <c r="N314" s="100">
        <v>41152</v>
      </c>
      <c r="O314" s="100">
        <v>41152</v>
      </c>
    </row>
    <row r="315" spans="1:15" ht="14.25">
      <c r="A315" s="97">
        <v>2012</v>
      </c>
      <c r="B315" s="98" t="s">
        <v>236</v>
      </c>
      <c r="C315" s="98" t="s">
        <v>237</v>
      </c>
      <c r="D315" s="99">
        <v>1425062</v>
      </c>
      <c r="E315" s="99">
        <v>2</v>
      </c>
      <c r="F315" s="99"/>
      <c r="G315" s="99">
        <v>12</v>
      </c>
      <c r="H315" s="99" t="s">
        <v>114</v>
      </c>
      <c r="I315" s="99"/>
      <c r="J315" s="99" t="s">
        <v>115</v>
      </c>
      <c r="K315" s="99" t="b">
        <v>0</v>
      </c>
      <c r="L315" s="95">
        <v>2013</v>
      </c>
      <c r="M315" s="96">
        <v>460000</v>
      </c>
      <c r="N315" s="100">
        <v>41152</v>
      </c>
      <c r="O315" s="100">
        <v>41152</v>
      </c>
    </row>
    <row r="316" spans="1:15" ht="14.25">
      <c r="A316" s="97">
        <v>2012</v>
      </c>
      <c r="B316" s="98" t="s">
        <v>236</v>
      </c>
      <c r="C316" s="98" t="s">
        <v>237</v>
      </c>
      <c r="D316" s="99">
        <v>1425062</v>
      </c>
      <c r="E316" s="99">
        <v>2</v>
      </c>
      <c r="F316" s="99"/>
      <c r="G316" s="99">
        <v>54</v>
      </c>
      <c r="H316" s="99">
        <v>27</v>
      </c>
      <c r="I316" s="99" t="s">
        <v>241</v>
      </c>
      <c r="J316" s="99" t="s">
        <v>46</v>
      </c>
      <c r="K316" s="99" t="b">
        <v>0</v>
      </c>
      <c r="L316" s="95">
        <v>2021</v>
      </c>
      <c r="M316" s="96">
        <v>34453073</v>
      </c>
      <c r="N316" s="100">
        <v>41152</v>
      </c>
      <c r="O316" s="100">
        <v>41152</v>
      </c>
    </row>
    <row r="317" spans="1:15" ht="14.25">
      <c r="A317" s="97">
        <v>2012</v>
      </c>
      <c r="B317" s="98" t="s">
        <v>236</v>
      </c>
      <c r="C317" s="98" t="s">
        <v>237</v>
      </c>
      <c r="D317" s="99">
        <v>1425062</v>
      </c>
      <c r="E317" s="99">
        <v>2</v>
      </c>
      <c r="F317" s="99"/>
      <c r="G317" s="99">
        <v>48</v>
      </c>
      <c r="H317" s="99">
        <v>22</v>
      </c>
      <c r="I317" s="99" t="s">
        <v>242</v>
      </c>
      <c r="J317" s="99" t="s">
        <v>79</v>
      </c>
      <c r="K317" s="99" t="b">
        <v>0</v>
      </c>
      <c r="L317" s="95">
        <v>2020</v>
      </c>
      <c r="M317" s="96">
        <v>0.0203</v>
      </c>
      <c r="N317" s="100">
        <v>41152</v>
      </c>
      <c r="O317" s="100">
        <v>41152</v>
      </c>
    </row>
    <row r="318" spans="1:15" ht="14.25">
      <c r="A318" s="97">
        <v>2012</v>
      </c>
      <c r="B318" s="98" t="s">
        <v>236</v>
      </c>
      <c r="C318" s="98" t="s">
        <v>237</v>
      </c>
      <c r="D318" s="99">
        <v>1425062</v>
      </c>
      <c r="E318" s="99">
        <v>2</v>
      </c>
      <c r="F318" s="99"/>
      <c r="G318" s="99">
        <v>41</v>
      </c>
      <c r="H318" s="99" t="s">
        <v>145</v>
      </c>
      <c r="I318" s="99" t="s">
        <v>256</v>
      </c>
      <c r="J318" s="99" t="s">
        <v>73</v>
      </c>
      <c r="K318" s="99" t="b">
        <v>0</v>
      </c>
      <c r="L318" s="95">
        <v>2017</v>
      </c>
      <c r="M318" s="96">
        <v>0.2777</v>
      </c>
      <c r="N318" s="100">
        <v>41152</v>
      </c>
      <c r="O318" s="100">
        <v>41152</v>
      </c>
    </row>
    <row r="319" spans="1:15" ht="14.25">
      <c r="A319" s="97">
        <v>2012</v>
      </c>
      <c r="B319" s="98" t="s">
        <v>236</v>
      </c>
      <c r="C319" s="98" t="s">
        <v>237</v>
      </c>
      <c r="D319" s="99">
        <v>1425062</v>
      </c>
      <c r="E319" s="99">
        <v>2</v>
      </c>
      <c r="F319" s="99"/>
      <c r="G319" s="99">
        <v>9</v>
      </c>
      <c r="H319" s="99" t="s">
        <v>108</v>
      </c>
      <c r="I319" s="99"/>
      <c r="J319" s="99" t="s">
        <v>109</v>
      </c>
      <c r="K319" s="99" t="b">
        <v>0</v>
      </c>
      <c r="L319" s="95">
        <v>2021</v>
      </c>
      <c r="M319" s="96">
        <v>3691248</v>
      </c>
      <c r="N319" s="100">
        <v>41152</v>
      </c>
      <c r="O319" s="100">
        <v>41152</v>
      </c>
    </row>
    <row r="320" spans="1:15" ht="14.25">
      <c r="A320" s="97">
        <v>2012</v>
      </c>
      <c r="B320" s="98" t="s">
        <v>236</v>
      </c>
      <c r="C320" s="98" t="s">
        <v>237</v>
      </c>
      <c r="D320" s="99">
        <v>1425062</v>
      </c>
      <c r="E320" s="99">
        <v>2</v>
      </c>
      <c r="F320" s="99"/>
      <c r="G320" s="99">
        <v>45</v>
      </c>
      <c r="H320" s="99" t="s">
        <v>148</v>
      </c>
      <c r="I320" s="99" t="s">
        <v>238</v>
      </c>
      <c r="J320" s="99" t="s">
        <v>53</v>
      </c>
      <c r="K320" s="99" t="b">
        <v>0</v>
      </c>
      <c r="L320" s="95">
        <v>2016</v>
      </c>
      <c r="M320" s="96">
        <v>0.0636</v>
      </c>
      <c r="N320" s="100">
        <v>41152</v>
      </c>
      <c r="O320" s="100">
        <v>41152</v>
      </c>
    </row>
    <row r="321" spans="1:15" ht="14.25">
      <c r="A321" s="97">
        <v>2012</v>
      </c>
      <c r="B321" s="98" t="s">
        <v>236</v>
      </c>
      <c r="C321" s="98" t="s">
        <v>237</v>
      </c>
      <c r="D321" s="99">
        <v>1425062</v>
      </c>
      <c r="E321" s="99">
        <v>2</v>
      </c>
      <c r="F321" s="99"/>
      <c r="G321" s="99">
        <v>21</v>
      </c>
      <c r="H321" s="99" t="s">
        <v>124</v>
      </c>
      <c r="I321" s="99"/>
      <c r="J321" s="99" t="s">
        <v>125</v>
      </c>
      <c r="K321" s="99" t="b">
        <v>1</v>
      </c>
      <c r="L321" s="95">
        <v>2020</v>
      </c>
      <c r="M321" s="96">
        <v>500000</v>
      </c>
      <c r="N321" s="100">
        <v>41152</v>
      </c>
      <c r="O321" s="100">
        <v>41152</v>
      </c>
    </row>
    <row r="322" spans="1:15" ht="14.25">
      <c r="A322" s="97">
        <v>2012</v>
      </c>
      <c r="B322" s="98" t="s">
        <v>236</v>
      </c>
      <c r="C322" s="98" t="s">
        <v>237</v>
      </c>
      <c r="D322" s="99">
        <v>1425062</v>
      </c>
      <c r="E322" s="99">
        <v>2</v>
      </c>
      <c r="F322" s="99"/>
      <c r="G322" s="99">
        <v>47</v>
      </c>
      <c r="H322" s="99" t="s">
        <v>149</v>
      </c>
      <c r="I322" s="99" t="s">
        <v>244</v>
      </c>
      <c r="J322" s="99" t="s">
        <v>78</v>
      </c>
      <c r="K322" s="99" t="b">
        <v>0</v>
      </c>
      <c r="L322" s="95">
        <v>2022</v>
      </c>
      <c r="M322" s="96">
        <v>349</v>
      </c>
      <c r="N322" s="100">
        <v>41152</v>
      </c>
      <c r="O322" s="100">
        <v>41152</v>
      </c>
    </row>
    <row r="323" spans="1:15" ht="14.25">
      <c r="A323" s="97">
        <v>2012</v>
      </c>
      <c r="B323" s="98" t="s">
        <v>236</v>
      </c>
      <c r="C323" s="98" t="s">
        <v>237</v>
      </c>
      <c r="D323" s="99">
        <v>1425062</v>
      </c>
      <c r="E323" s="99">
        <v>2</v>
      </c>
      <c r="F323" s="99"/>
      <c r="G323" s="99">
        <v>47</v>
      </c>
      <c r="H323" s="99" t="s">
        <v>149</v>
      </c>
      <c r="I323" s="99" t="s">
        <v>244</v>
      </c>
      <c r="J323" s="99" t="s">
        <v>78</v>
      </c>
      <c r="K323" s="99" t="b">
        <v>0</v>
      </c>
      <c r="L323" s="95">
        <v>2012</v>
      </c>
      <c r="M323" s="96">
        <v>-245</v>
      </c>
      <c r="N323" s="100">
        <v>41152</v>
      </c>
      <c r="O323" s="100">
        <v>41152</v>
      </c>
    </row>
    <row r="324" spans="1:15" ht="14.25">
      <c r="A324" s="97">
        <v>2012</v>
      </c>
      <c r="B324" s="98" t="s">
        <v>236</v>
      </c>
      <c r="C324" s="98" t="s">
        <v>237</v>
      </c>
      <c r="D324" s="99">
        <v>1425062</v>
      </c>
      <c r="E324" s="99">
        <v>2</v>
      </c>
      <c r="F324" s="99"/>
      <c r="G324" s="99">
        <v>20</v>
      </c>
      <c r="H324" s="99">
        <v>7</v>
      </c>
      <c r="I324" s="99" t="s">
        <v>259</v>
      </c>
      <c r="J324" s="99" t="s">
        <v>12</v>
      </c>
      <c r="K324" s="99" t="b">
        <v>1</v>
      </c>
      <c r="L324" s="95">
        <v>2021</v>
      </c>
      <c r="M324" s="96">
        <v>2696576</v>
      </c>
      <c r="N324" s="100">
        <v>41152</v>
      </c>
      <c r="O324" s="100">
        <v>41152</v>
      </c>
    </row>
    <row r="325" spans="1:15" ht="14.25">
      <c r="A325" s="97">
        <v>2012</v>
      </c>
      <c r="B325" s="98" t="s">
        <v>236</v>
      </c>
      <c r="C325" s="98" t="s">
        <v>237</v>
      </c>
      <c r="D325" s="99">
        <v>1425062</v>
      </c>
      <c r="E325" s="99">
        <v>2</v>
      </c>
      <c r="F325" s="99"/>
      <c r="G325" s="99">
        <v>6</v>
      </c>
      <c r="H325" s="99" t="s">
        <v>104</v>
      </c>
      <c r="I325" s="99"/>
      <c r="J325" s="99" t="s">
        <v>105</v>
      </c>
      <c r="K325" s="99" t="b">
        <v>1</v>
      </c>
      <c r="L325" s="95">
        <v>2016</v>
      </c>
      <c r="M325" s="96">
        <v>1615313</v>
      </c>
      <c r="N325" s="100">
        <v>41152</v>
      </c>
      <c r="O325" s="100">
        <v>41152</v>
      </c>
    </row>
    <row r="326" spans="1:15" ht="14.25">
      <c r="A326" s="97">
        <v>2012</v>
      </c>
      <c r="B326" s="98" t="s">
        <v>236</v>
      </c>
      <c r="C326" s="98" t="s">
        <v>237</v>
      </c>
      <c r="D326" s="99">
        <v>1425062</v>
      </c>
      <c r="E326" s="99">
        <v>2</v>
      </c>
      <c r="F326" s="99"/>
      <c r="G326" s="99">
        <v>7</v>
      </c>
      <c r="H326" s="99">
        <v>2</v>
      </c>
      <c r="I326" s="99"/>
      <c r="J326" s="99" t="s">
        <v>3</v>
      </c>
      <c r="K326" s="99" t="b">
        <v>1</v>
      </c>
      <c r="L326" s="95">
        <v>2012</v>
      </c>
      <c r="M326" s="96">
        <v>26330574.89</v>
      </c>
      <c r="N326" s="100">
        <v>41152</v>
      </c>
      <c r="O326" s="100">
        <v>41152</v>
      </c>
    </row>
    <row r="327" spans="1:15" ht="14.25">
      <c r="A327" s="97">
        <v>2012</v>
      </c>
      <c r="B327" s="98" t="s">
        <v>236</v>
      </c>
      <c r="C327" s="98" t="s">
        <v>237</v>
      </c>
      <c r="D327" s="99">
        <v>1425062</v>
      </c>
      <c r="E327" s="99">
        <v>2</v>
      </c>
      <c r="F327" s="99"/>
      <c r="G327" s="99">
        <v>4</v>
      </c>
      <c r="H327" s="99" t="s">
        <v>100</v>
      </c>
      <c r="I327" s="99"/>
      <c r="J327" s="99" t="s">
        <v>101</v>
      </c>
      <c r="K327" s="99" t="b">
        <v>1</v>
      </c>
      <c r="L327" s="95">
        <v>2016</v>
      </c>
      <c r="M327" s="96">
        <v>1615313</v>
      </c>
      <c r="N327" s="100">
        <v>41152</v>
      </c>
      <c r="O327" s="100">
        <v>41152</v>
      </c>
    </row>
    <row r="328" spans="1:15" ht="14.25">
      <c r="A328" s="97">
        <v>2012</v>
      </c>
      <c r="B328" s="98" t="s">
        <v>236</v>
      </c>
      <c r="C328" s="98" t="s">
        <v>237</v>
      </c>
      <c r="D328" s="99">
        <v>1425062</v>
      </c>
      <c r="E328" s="99">
        <v>2</v>
      </c>
      <c r="F328" s="99"/>
      <c r="G328" s="99">
        <v>47</v>
      </c>
      <c r="H328" s="99" t="s">
        <v>149</v>
      </c>
      <c r="I328" s="99" t="s">
        <v>244</v>
      </c>
      <c r="J328" s="99" t="s">
        <v>78</v>
      </c>
      <c r="K328" s="99" t="b">
        <v>0</v>
      </c>
      <c r="L328" s="95">
        <v>2019</v>
      </c>
      <c r="M328" s="96">
        <v>10</v>
      </c>
      <c r="N328" s="100">
        <v>41152</v>
      </c>
      <c r="O328" s="100">
        <v>41152</v>
      </c>
    </row>
    <row r="329" spans="1:15" ht="14.25">
      <c r="A329" s="97">
        <v>2012</v>
      </c>
      <c r="B329" s="98" t="s">
        <v>236</v>
      </c>
      <c r="C329" s="98" t="s">
        <v>237</v>
      </c>
      <c r="D329" s="99">
        <v>1425062</v>
      </c>
      <c r="E329" s="99">
        <v>2</v>
      </c>
      <c r="F329" s="99"/>
      <c r="G329" s="99">
        <v>1</v>
      </c>
      <c r="H329" s="99">
        <v>1</v>
      </c>
      <c r="I329" s="99" t="s">
        <v>252</v>
      </c>
      <c r="J329" s="99" t="s">
        <v>95</v>
      </c>
      <c r="K329" s="99" t="b">
        <v>1</v>
      </c>
      <c r="L329" s="95">
        <v>2018</v>
      </c>
      <c r="M329" s="96">
        <v>33878223</v>
      </c>
      <c r="N329" s="100">
        <v>41152</v>
      </c>
      <c r="O329" s="100">
        <v>41152</v>
      </c>
    </row>
    <row r="330" spans="1:15" ht="14.25">
      <c r="A330" s="97">
        <v>2012</v>
      </c>
      <c r="B330" s="98" t="s">
        <v>236</v>
      </c>
      <c r="C330" s="98" t="s">
        <v>237</v>
      </c>
      <c r="D330" s="99">
        <v>1425062</v>
      </c>
      <c r="E330" s="99">
        <v>2</v>
      </c>
      <c r="F330" s="99"/>
      <c r="G330" s="99">
        <v>55</v>
      </c>
      <c r="H330" s="99">
        <v>28</v>
      </c>
      <c r="I330" s="99" t="s">
        <v>257</v>
      </c>
      <c r="J330" s="99" t="s">
        <v>48</v>
      </c>
      <c r="K330" s="99" t="b">
        <v>0</v>
      </c>
      <c r="L330" s="95">
        <v>2021</v>
      </c>
      <c r="M330" s="96">
        <v>2566576</v>
      </c>
      <c r="N330" s="100">
        <v>41152</v>
      </c>
      <c r="O330" s="100">
        <v>41152</v>
      </c>
    </row>
    <row r="331" spans="1:15" ht="14.25">
      <c r="A331" s="97">
        <v>2012</v>
      </c>
      <c r="B331" s="98" t="s">
        <v>236</v>
      </c>
      <c r="C331" s="98" t="s">
        <v>237</v>
      </c>
      <c r="D331" s="99">
        <v>1425062</v>
      </c>
      <c r="E331" s="99">
        <v>2</v>
      </c>
      <c r="F331" s="99"/>
      <c r="G331" s="99">
        <v>20</v>
      </c>
      <c r="H331" s="99">
        <v>7</v>
      </c>
      <c r="I331" s="99" t="s">
        <v>259</v>
      </c>
      <c r="J331" s="99" t="s">
        <v>12</v>
      </c>
      <c r="K331" s="99" t="b">
        <v>1</v>
      </c>
      <c r="L331" s="95">
        <v>2020</v>
      </c>
      <c r="M331" s="96">
        <v>716400</v>
      </c>
      <c r="N331" s="100">
        <v>41152</v>
      </c>
      <c r="O331" s="100">
        <v>41152</v>
      </c>
    </row>
    <row r="332" spans="1:15" ht="14.25">
      <c r="A332" s="97">
        <v>2012</v>
      </c>
      <c r="B332" s="98" t="s">
        <v>236</v>
      </c>
      <c r="C332" s="98" t="s">
        <v>237</v>
      </c>
      <c r="D332" s="99">
        <v>1425062</v>
      </c>
      <c r="E332" s="99">
        <v>2</v>
      </c>
      <c r="F332" s="99"/>
      <c r="G332" s="99">
        <v>57</v>
      </c>
      <c r="H332" s="99">
        <v>30</v>
      </c>
      <c r="I332" s="99" t="s">
        <v>240</v>
      </c>
      <c r="J332" s="99" t="s">
        <v>155</v>
      </c>
      <c r="K332" s="99" t="b">
        <v>0</v>
      </c>
      <c r="L332" s="95">
        <v>2016</v>
      </c>
      <c r="M332" s="96">
        <v>1500000</v>
      </c>
      <c r="N332" s="100">
        <v>41152</v>
      </c>
      <c r="O332" s="100">
        <v>41152</v>
      </c>
    </row>
    <row r="333" spans="1:15" ht="14.25">
      <c r="A333" s="97">
        <v>2012</v>
      </c>
      <c r="B333" s="98" t="s">
        <v>236</v>
      </c>
      <c r="C333" s="98" t="s">
        <v>237</v>
      </c>
      <c r="D333" s="99">
        <v>1425062</v>
      </c>
      <c r="E333" s="99">
        <v>2</v>
      </c>
      <c r="F333" s="99"/>
      <c r="G333" s="99">
        <v>47</v>
      </c>
      <c r="H333" s="99" t="s">
        <v>149</v>
      </c>
      <c r="I333" s="99" t="s">
        <v>244</v>
      </c>
      <c r="J333" s="99" t="s">
        <v>78</v>
      </c>
      <c r="K333" s="99" t="b">
        <v>0</v>
      </c>
      <c r="L333" s="95">
        <v>2021</v>
      </c>
      <c r="M333" s="96">
        <v>47</v>
      </c>
      <c r="N333" s="100">
        <v>41152</v>
      </c>
      <c r="O333" s="100">
        <v>41152</v>
      </c>
    </row>
    <row r="334" spans="1:15" ht="14.25">
      <c r="A334" s="97">
        <v>2012</v>
      </c>
      <c r="B334" s="98" t="s">
        <v>236</v>
      </c>
      <c r="C334" s="98" t="s">
        <v>237</v>
      </c>
      <c r="D334" s="99">
        <v>1425062</v>
      </c>
      <c r="E334" s="99">
        <v>2</v>
      </c>
      <c r="F334" s="99"/>
      <c r="G334" s="99">
        <v>52</v>
      </c>
      <c r="H334" s="99">
        <v>25</v>
      </c>
      <c r="I334" s="99" t="s">
        <v>254</v>
      </c>
      <c r="J334" s="99" t="s">
        <v>49</v>
      </c>
      <c r="K334" s="99" t="b">
        <v>1</v>
      </c>
      <c r="L334" s="95">
        <v>2013</v>
      </c>
      <c r="M334" s="96">
        <v>2183600</v>
      </c>
      <c r="N334" s="100">
        <v>41152</v>
      </c>
      <c r="O334" s="100">
        <v>41152</v>
      </c>
    </row>
    <row r="335" spans="1:15" ht="14.25">
      <c r="A335" s="97">
        <v>2012</v>
      </c>
      <c r="B335" s="98" t="s">
        <v>236</v>
      </c>
      <c r="C335" s="98" t="s">
        <v>237</v>
      </c>
      <c r="D335" s="99">
        <v>1425062</v>
      </c>
      <c r="E335" s="99">
        <v>2</v>
      </c>
      <c r="F335" s="99"/>
      <c r="G335" s="99">
        <v>48</v>
      </c>
      <c r="H335" s="99">
        <v>22</v>
      </c>
      <c r="I335" s="99" t="s">
        <v>242</v>
      </c>
      <c r="J335" s="99" t="s">
        <v>79</v>
      </c>
      <c r="K335" s="99" t="b">
        <v>0</v>
      </c>
      <c r="L335" s="95">
        <v>2013</v>
      </c>
      <c r="M335" s="96">
        <v>0.14</v>
      </c>
      <c r="N335" s="100">
        <v>41152</v>
      </c>
      <c r="O335" s="100">
        <v>41152</v>
      </c>
    </row>
    <row r="336" spans="1:15" ht="14.25">
      <c r="A336" s="97">
        <v>2012</v>
      </c>
      <c r="B336" s="98" t="s">
        <v>236</v>
      </c>
      <c r="C336" s="98" t="s">
        <v>237</v>
      </c>
      <c r="D336" s="99">
        <v>1425062</v>
      </c>
      <c r="E336" s="99">
        <v>2</v>
      </c>
      <c r="F336" s="99"/>
      <c r="G336" s="99">
        <v>24</v>
      </c>
      <c r="H336" s="99" t="s">
        <v>130</v>
      </c>
      <c r="I336" s="99"/>
      <c r="J336" s="99" t="s">
        <v>131</v>
      </c>
      <c r="K336" s="99" t="b">
        <v>1</v>
      </c>
      <c r="L336" s="95">
        <v>2014</v>
      </c>
      <c r="M336" s="96">
        <v>600000</v>
      </c>
      <c r="N336" s="100">
        <v>41152</v>
      </c>
      <c r="O336" s="100">
        <v>41152</v>
      </c>
    </row>
    <row r="337" spans="1:15" ht="14.25">
      <c r="A337" s="97">
        <v>2012</v>
      </c>
      <c r="B337" s="98" t="s">
        <v>236</v>
      </c>
      <c r="C337" s="98" t="s">
        <v>237</v>
      </c>
      <c r="D337" s="99">
        <v>1425062</v>
      </c>
      <c r="E337" s="99">
        <v>2</v>
      </c>
      <c r="F337" s="99"/>
      <c r="G337" s="99">
        <v>55</v>
      </c>
      <c r="H337" s="99">
        <v>28</v>
      </c>
      <c r="I337" s="99" t="s">
        <v>257</v>
      </c>
      <c r="J337" s="99" t="s">
        <v>48</v>
      </c>
      <c r="K337" s="99" t="b">
        <v>0</v>
      </c>
      <c r="L337" s="95">
        <v>2014</v>
      </c>
      <c r="M337" s="96">
        <v>374626</v>
      </c>
      <c r="N337" s="100">
        <v>41152</v>
      </c>
      <c r="O337" s="100">
        <v>41152</v>
      </c>
    </row>
    <row r="338" spans="1:15" ht="14.25">
      <c r="A338" s="97">
        <v>2012</v>
      </c>
      <c r="B338" s="98" t="s">
        <v>236</v>
      </c>
      <c r="C338" s="98" t="s">
        <v>237</v>
      </c>
      <c r="D338" s="99">
        <v>1425062</v>
      </c>
      <c r="E338" s="99">
        <v>2</v>
      </c>
      <c r="F338" s="99"/>
      <c r="G338" s="99">
        <v>40</v>
      </c>
      <c r="H338" s="99">
        <v>18</v>
      </c>
      <c r="I338" s="99" t="s">
        <v>258</v>
      </c>
      <c r="J338" s="99" t="s">
        <v>71</v>
      </c>
      <c r="K338" s="99" t="b">
        <v>0</v>
      </c>
      <c r="L338" s="95">
        <v>2021</v>
      </c>
      <c r="M338" s="96">
        <v>0.0457</v>
      </c>
      <c r="N338" s="100">
        <v>41152</v>
      </c>
      <c r="O338" s="100">
        <v>41152</v>
      </c>
    </row>
    <row r="339" spans="1:15" ht="14.25">
      <c r="A339" s="97">
        <v>2012</v>
      </c>
      <c r="B339" s="98" t="s">
        <v>236</v>
      </c>
      <c r="C339" s="98" t="s">
        <v>237</v>
      </c>
      <c r="D339" s="99">
        <v>1425062</v>
      </c>
      <c r="E339" s="99">
        <v>2</v>
      </c>
      <c r="F339" s="99"/>
      <c r="G339" s="99">
        <v>37</v>
      </c>
      <c r="H339" s="99">
        <v>16</v>
      </c>
      <c r="I339" s="99"/>
      <c r="J339" s="99" t="s">
        <v>142</v>
      </c>
      <c r="K339" s="99" t="b">
        <v>1</v>
      </c>
      <c r="L339" s="95">
        <v>2021</v>
      </c>
      <c r="M339" s="96">
        <v>2566576</v>
      </c>
      <c r="N339" s="100">
        <v>41152</v>
      </c>
      <c r="O339" s="100">
        <v>41152</v>
      </c>
    </row>
    <row r="340" spans="1:15" ht="14.25">
      <c r="A340" s="97">
        <v>2012</v>
      </c>
      <c r="B340" s="98" t="s">
        <v>236</v>
      </c>
      <c r="C340" s="98" t="s">
        <v>237</v>
      </c>
      <c r="D340" s="99">
        <v>1425062</v>
      </c>
      <c r="E340" s="99">
        <v>2</v>
      </c>
      <c r="F340" s="99"/>
      <c r="G340" s="99">
        <v>53</v>
      </c>
      <c r="H340" s="99">
        <v>26</v>
      </c>
      <c r="I340" s="99" t="s">
        <v>239</v>
      </c>
      <c r="J340" s="99" t="s">
        <v>153</v>
      </c>
      <c r="K340" s="99" t="b">
        <v>1</v>
      </c>
      <c r="L340" s="95">
        <v>2020</v>
      </c>
      <c r="M340" s="96">
        <v>35241407</v>
      </c>
      <c r="N340" s="100">
        <v>41152</v>
      </c>
      <c r="O340" s="100">
        <v>41152</v>
      </c>
    </row>
    <row r="341" spans="1:15" ht="14.25">
      <c r="A341" s="97">
        <v>2012</v>
      </c>
      <c r="B341" s="98" t="s">
        <v>236</v>
      </c>
      <c r="C341" s="98" t="s">
        <v>237</v>
      </c>
      <c r="D341" s="99">
        <v>1425062</v>
      </c>
      <c r="E341" s="99">
        <v>2</v>
      </c>
      <c r="F341" s="99"/>
      <c r="G341" s="99">
        <v>28</v>
      </c>
      <c r="H341" s="99" t="s">
        <v>134</v>
      </c>
      <c r="I341" s="99"/>
      <c r="J341" s="99" t="s">
        <v>135</v>
      </c>
      <c r="K341" s="99" t="b">
        <v>0</v>
      </c>
      <c r="L341" s="95">
        <v>2015</v>
      </c>
      <c r="M341" s="96">
        <v>3068000</v>
      </c>
      <c r="N341" s="100">
        <v>41152</v>
      </c>
      <c r="O341" s="100">
        <v>41152</v>
      </c>
    </row>
    <row r="342" spans="1:15" ht="14.25">
      <c r="A342" s="97">
        <v>2012</v>
      </c>
      <c r="B342" s="98" t="s">
        <v>236</v>
      </c>
      <c r="C342" s="98" t="s">
        <v>237</v>
      </c>
      <c r="D342" s="99">
        <v>1425062</v>
      </c>
      <c r="E342" s="99">
        <v>2</v>
      </c>
      <c r="F342" s="99"/>
      <c r="G342" s="99">
        <v>21</v>
      </c>
      <c r="H342" s="99" t="s">
        <v>124</v>
      </c>
      <c r="I342" s="99"/>
      <c r="J342" s="99" t="s">
        <v>125</v>
      </c>
      <c r="K342" s="99" t="b">
        <v>1</v>
      </c>
      <c r="L342" s="95">
        <v>2013</v>
      </c>
      <c r="M342" s="96">
        <v>3670600</v>
      </c>
      <c r="N342" s="100">
        <v>41152</v>
      </c>
      <c r="O342" s="100">
        <v>41152</v>
      </c>
    </row>
    <row r="343" spans="1:15" ht="14.25">
      <c r="A343" s="97">
        <v>2012</v>
      </c>
      <c r="B343" s="98" t="s">
        <v>236</v>
      </c>
      <c r="C343" s="98" t="s">
        <v>237</v>
      </c>
      <c r="D343" s="99">
        <v>1425062</v>
      </c>
      <c r="E343" s="99">
        <v>2</v>
      </c>
      <c r="F343" s="99"/>
      <c r="G343" s="99">
        <v>24</v>
      </c>
      <c r="H343" s="99" t="s">
        <v>130</v>
      </c>
      <c r="I343" s="99"/>
      <c r="J343" s="99" t="s">
        <v>131</v>
      </c>
      <c r="K343" s="99" t="b">
        <v>1</v>
      </c>
      <c r="L343" s="95">
        <v>2019</v>
      </c>
      <c r="M343" s="96">
        <v>120000</v>
      </c>
      <c r="N343" s="100">
        <v>41152</v>
      </c>
      <c r="O343" s="100">
        <v>41152</v>
      </c>
    </row>
    <row r="344" spans="1:15" ht="14.25">
      <c r="A344" s="97">
        <v>2012</v>
      </c>
      <c r="B344" s="98" t="s">
        <v>236</v>
      </c>
      <c r="C344" s="98" t="s">
        <v>237</v>
      </c>
      <c r="D344" s="99">
        <v>1425062</v>
      </c>
      <c r="E344" s="99">
        <v>2</v>
      </c>
      <c r="F344" s="99"/>
      <c r="G344" s="99">
        <v>52</v>
      </c>
      <c r="H344" s="99">
        <v>25</v>
      </c>
      <c r="I344" s="99" t="s">
        <v>254</v>
      </c>
      <c r="J344" s="99" t="s">
        <v>49</v>
      </c>
      <c r="K344" s="99" t="b">
        <v>1</v>
      </c>
      <c r="L344" s="95">
        <v>2022</v>
      </c>
      <c r="M344" s="96">
        <v>3801630</v>
      </c>
      <c r="N344" s="100">
        <v>41152</v>
      </c>
      <c r="O344" s="100">
        <v>41152</v>
      </c>
    </row>
    <row r="345" spans="1:15" ht="14.25">
      <c r="A345" s="97">
        <v>2012</v>
      </c>
      <c r="B345" s="98" t="s">
        <v>236</v>
      </c>
      <c r="C345" s="98" t="s">
        <v>237</v>
      </c>
      <c r="D345" s="99">
        <v>1425062</v>
      </c>
      <c r="E345" s="99">
        <v>2</v>
      </c>
      <c r="F345" s="99"/>
      <c r="G345" s="99">
        <v>20</v>
      </c>
      <c r="H345" s="99">
        <v>7</v>
      </c>
      <c r="I345" s="99" t="s">
        <v>259</v>
      </c>
      <c r="J345" s="99" t="s">
        <v>12</v>
      </c>
      <c r="K345" s="99" t="b">
        <v>1</v>
      </c>
      <c r="L345" s="95">
        <v>2018</v>
      </c>
      <c r="M345" s="96">
        <v>2200000</v>
      </c>
      <c r="N345" s="100">
        <v>41152</v>
      </c>
      <c r="O345" s="100">
        <v>41152</v>
      </c>
    </row>
    <row r="346" spans="1:15" ht="14.25">
      <c r="A346" s="97">
        <v>2012</v>
      </c>
      <c r="B346" s="98" t="s">
        <v>236</v>
      </c>
      <c r="C346" s="98" t="s">
        <v>237</v>
      </c>
      <c r="D346" s="99">
        <v>1425062</v>
      </c>
      <c r="E346" s="99">
        <v>2</v>
      </c>
      <c r="F346" s="99"/>
      <c r="G346" s="99">
        <v>8</v>
      </c>
      <c r="H346" s="99" t="s">
        <v>106</v>
      </c>
      <c r="I346" s="99"/>
      <c r="J346" s="99" t="s">
        <v>107</v>
      </c>
      <c r="K346" s="99" t="b">
        <v>0</v>
      </c>
      <c r="L346" s="95">
        <v>2012</v>
      </c>
      <c r="M346" s="96">
        <v>14686122</v>
      </c>
      <c r="N346" s="100">
        <v>41152</v>
      </c>
      <c r="O346" s="100">
        <v>41152</v>
      </c>
    </row>
    <row r="347" spans="1:15" ht="14.25">
      <c r="A347" s="97">
        <v>2012</v>
      </c>
      <c r="B347" s="98" t="s">
        <v>236</v>
      </c>
      <c r="C347" s="98" t="s">
        <v>237</v>
      </c>
      <c r="D347" s="99">
        <v>1425062</v>
      </c>
      <c r="E347" s="99">
        <v>2</v>
      </c>
      <c r="F347" s="99"/>
      <c r="G347" s="99">
        <v>1</v>
      </c>
      <c r="H347" s="99">
        <v>1</v>
      </c>
      <c r="I347" s="99" t="s">
        <v>252</v>
      </c>
      <c r="J347" s="99" t="s">
        <v>95</v>
      </c>
      <c r="K347" s="99" t="b">
        <v>1</v>
      </c>
      <c r="L347" s="95">
        <v>2020</v>
      </c>
      <c r="M347" s="96">
        <v>35241407</v>
      </c>
      <c r="N347" s="100">
        <v>41152</v>
      </c>
      <c r="O347" s="100">
        <v>41152</v>
      </c>
    </row>
    <row r="348" spans="1:15" ht="14.25">
      <c r="A348" s="97">
        <v>2012</v>
      </c>
      <c r="B348" s="98" t="s">
        <v>236</v>
      </c>
      <c r="C348" s="98" t="s">
        <v>237</v>
      </c>
      <c r="D348" s="99">
        <v>1425062</v>
      </c>
      <c r="E348" s="99">
        <v>2</v>
      </c>
      <c r="F348" s="99"/>
      <c r="G348" s="99">
        <v>24</v>
      </c>
      <c r="H348" s="99" t="s">
        <v>130</v>
      </c>
      <c r="I348" s="99"/>
      <c r="J348" s="99" t="s">
        <v>131</v>
      </c>
      <c r="K348" s="99" t="b">
        <v>1</v>
      </c>
      <c r="L348" s="95">
        <v>2015</v>
      </c>
      <c r="M348" s="96">
        <v>530000</v>
      </c>
      <c r="N348" s="100">
        <v>41152</v>
      </c>
      <c r="O348" s="100">
        <v>41152</v>
      </c>
    </row>
    <row r="349" spans="1:15" ht="14.25">
      <c r="A349" s="97">
        <v>2012</v>
      </c>
      <c r="B349" s="98" t="s">
        <v>236</v>
      </c>
      <c r="C349" s="98" t="s">
        <v>237</v>
      </c>
      <c r="D349" s="99">
        <v>1425062</v>
      </c>
      <c r="E349" s="99">
        <v>2</v>
      </c>
      <c r="F349" s="99"/>
      <c r="G349" s="99">
        <v>23</v>
      </c>
      <c r="H349" s="99" t="s">
        <v>128</v>
      </c>
      <c r="I349" s="99"/>
      <c r="J349" s="99" t="s">
        <v>129</v>
      </c>
      <c r="K349" s="99" t="b">
        <v>1</v>
      </c>
      <c r="L349" s="95">
        <v>2015</v>
      </c>
      <c r="M349" s="96">
        <v>540000</v>
      </c>
      <c r="N349" s="100">
        <v>41152</v>
      </c>
      <c r="O349" s="100">
        <v>41152</v>
      </c>
    </row>
    <row r="350" spans="1:15" ht="14.25">
      <c r="A350" s="97">
        <v>2012</v>
      </c>
      <c r="B350" s="98" t="s">
        <v>236</v>
      </c>
      <c r="C350" s="98" t="s">
        <v>237</v>
      </c>
      <c r="D350" s="99">
        <v>1425062</v>
      </c>
      <c r="E350" s="99">
        <v>2</v>
      </c>
      <c r="F350" s="99"/>
      <c r="G350" s="99">
        <v>56</v>
      </c>
      <c r="H350" s="99">
        <v>29</v>
      </c>
      <c r="I350" s="99" t="s">
        <v>250</v>
      </c>
      <c r="J350" s="99" t="s">
        <v>154</v>
      </c>
      <c r="K350" s="99" t="b">
        <v>0</v>
      </c>
      <c r="L350" s="95">
        <v>2013</v>
      </c>
      <c r="M350" s="96">
        <v>3040000</v>
      </c>
      <c r="N350" s="100">
        <v>41152</v>
      </c>
      <c r="O350" s="100">
        <v>41152</v>
      </c>
    </row>
    <row r="351" spans="1:15" ht="14.25">
      <c r="A351" s="97">
        <v>2012</v>
      </c>
      <c r="B351" s="98" t="s">
        <v>236</v>
      </c>
      <c r="C351" s="98" t="s">
        <v>237</v>
      </c>
      <c r="D351" s="99">
        <v>1425062</v>
      </c>
      <c r="E351" s="99">
        <v>2</v>
      </c>
      <c r="F351" s="99"/>
      <c r="G351" s="99">
        <v>54</v>
      </c>
      <c r="H351" s="99">
        <v>27</v>
      </c>
      <c r="I351" s="99" t="s">
        <v>241</v>
      </c>
      <c r="J351" s="99" t="s">
        <v>46</v>
      </c>
      <c r="K351" s="99" t="b">
        <v>0</v>
      </c>
      <c r="L351" s="95">
        <v>2013</v>
      </c>
      <c r="M351" s="96">
        <v>30653233</v>
      </c>
      <c r="N351" s="100">
        <v>41152</v>
      </c>
      <c r="O351" s="100">
        <v>41152</v>
      </c>
    </row>
    <row r="352" spans="1:15" ht="14.25">
      <c r="A352" s="97">
        <v>2012</v>
      </c>
      <c r="B352" s="98" t="s">
        <v>236</v>
      </c>
      <c r="C352" s="98" t="s">
        <v>237</v>
      </c>
      <c r="D352" s="99">
        <v>1425062</v>
      </c>
      <c r="E352" s="99">
        <v>2</v>
      </c>
      <c r="F352" s="99"/>
      <c r="G352" s="99">
        <v>40</v>
      </c>
      <c r="H352" s="99">
        <v>18</v>
      </c>
      <c r="I352" s="99" t="s">
        <v>258</v>
      </c>
      <c r="J352" s="99" t="s">
        <v>71</v>
      </c>
      <c r="K352" s="99" t="b">
        <v>0</v>
      </c>
      <c r="L352" s="95">
        <v>2020</v>
      </c>
      <c r="M352" s="96">
        <v>0.1209</v>
      </c>
      <c r="N352" s="100">
        <v>41152</v>
      </c>
      <c r="O352" s="100">
        <v>41152</v>
      </c>
    </row>
    <row r="353" spans="1:15" ht="14.25">
      <c r="A353" s="97">
        <v>2012</v>
      </c>
      <c r="B353" s="98" t="s">
        <v>236</v>
      </c>
      <c r="C353" s="98" t="s">
        <v>237</v>
      </c>
      <c r="D353" s="99">
        <v>1425062</v>
      </c>
      <c r="E353" s="99">
        <v>2</v>
      </c>
      <c r="F353" s="99"/>
      <c r="G353" s="99">
        <v>47</v>
      </c>
      <c r="H353" s="99" t="s">
        <v>149</v>
      </c>
      <c r="I353" s="99" t="s">
        <v>244</v>
      </c>
      <c r="J353" s="99" t="s">
        <v>78</v>
      </c>
      <c r="K353" s="99" t="b">
        <v>0</v>
      </c>
      <c r="L353" s="95">
        <v>2015</v>
      </c>
      <c r="M353" s="96">
        <v>14</v>
      </c>
      <c r="N353" s="100">
        <v>41152</v>
      </c>
      <c r="O353" s="100">
        <v>41152</v>
      </c>
    </row>
    <row r="354" spans="1:15" ht="14.25">
      <c r="A354" s="97">
        <v>2012</v>
      </c>
      <c r="B354" s="98" t="s">
        <v>236</v>
      </c>
      <c r="C354" s="98" t="s">
        <v>237</v>
      </c>
      <c r="D354" s="99">
        <v>1425062</v>
      </c>
      <c r="E354" s="99">
        <v>2</v>
      </c>
      <c r="F354" s="99"/>
      <c r="G354" s="99">
        <v>40</v>
      </c>
      <c r="H354" s="99">
        <v>18</v>
      </c>
      <c r="I354" s="99" t="s">
        <v>258</v>
      </c>
      <c r="J354" s="99" t="s">
        <v>71</v>
      </c>
      <c r="K354" s="99" t="b">
        <v>0</v>
      </c>
      <c r="L354" s="95">
        <v>2012</v>
      </c>
      <c r="M354" s="96">
        <v>0.3973</v>
      </c>
      <c r="N354" s="100">
        <v>41152</v>
      </c>
      <c r="O354" s="100">
        <v>41152</v>
      </c>
    </row>
    <row r="355" spans="1:15" ht="14.25">
      <c r="A355" s="97">
        <v>2012</v>
      </c>
      <c r="B355" s="98" t="s">
        <v>236</v>
      </c>
      <c r="C355" s="98" t="s">
        <v>237</v>
      </c>
      <c r="D355" s="99">
        <v>1425062</v>
      </c>
      <c r="E355" s="99">
        <v>2</v>
      </c>
      <c r="F355" s="99"/>
      <c r="G355" s="99">
        <v>1</v>
      </c>
      <c r="H355" s="99">
        <v>1</v>
      </c>
      <c r="I355" s="99" t="s">
        <v>252</v>
      </c>
      <c r="J355" s="99" t="s">
        <v>95</v>
      </c>
      <c r="K355" s="99" t="b">
        <v>1</v>
      </c>
      <c r="L355" s="95">
        <v>2015</v>
      </c>
      <c r="M355" s="96">
        <v>32515274</v>
      </c>
      <c r="N355" s="100">
        <v>41152</v>
      </c>
      <c r="O355" s="100">
        <v>41152</v>
      </c>
    </row>
    <row r="356" spans="1:15" ht="14.25">
      <c r="A356" s="97">
        <v>2012</v>
      </c>
      <c r="B356" s="98" t="s">
        <v>236</v>
      </c>
      <c r="C356" s="98" t="s">
        <v>237</v>
      </c>
      <c r="D356" s="99">
        <v>1425062</v>
      </c>
      <c r="E356" s="99">
        <v>2</v>
      </c>
      <c r="F356" s="99"/>
      <c r="G356" s="99">
        <v>20</v>
      </c>
      <c r="H356" s="99">
        <v>7</v>
      </c>
      <c r="I356" s="99" t="s">
        <v>259</v>
      </c>
      <c r="J356" s="99" t="s">
        <v>12</v>
      </c>
      <c r="K356" s="99" t="b">
        <v>1</v>
      </c>
      <c r="L356" s="95">
        <v>2016</v>
      </c>
      <c r="M356" s="96">
        <v>2000000</v>
      </c>
      <c r="N356" s="100">
        <v>41152</v>
      </c>
      <c r="O356" s="100">
        <v>41152</v>
      </c>
    </row>
    <row r="357" spans="1:15" ht="14.25">
      <c r="A357" s="97">
        <v>2012</v>
      </c>
      <c r="B357" s="98" t="s">
        <v>236</v>
      </c>
      <c r="C357" s="98" t="s">
        <v>237</v>
      </c>
      <c r="D357" s="99">
        <v>1425062</v>
      </c>
      <c r="E357" s="99">
        <v>2</v>
      </c>
      <c r="F357" s="99"/>
      <c r="G357" s="99">
        <v>3</v>
      </c>
      <c r="H357" s="99" t="s">
        <v>98</v>
      </c>
      <c r="I357" s="99"/>
      <c r="J357" s="99" t="s">
        <v>99</v>
      </c>
      <c r="K357" s="99" t="b">
        <v>1</v>
      </c>
      <c r="L357" s="95">
        <v>2013</v>
      </c>
      <c r="M357" s="96">
        <v>170050</v>
      </c>
      <c r="N357" s="100">
        <v>41152</v>
      </c>
      <c r="O357" s="100">
        <v>41152</v>
      </c>
    </row>
    <row r="358" spans="1:15" ht="14.25">
      <c r="A358" s="97">
        <v>2012</v>
      </c>
      <c r="B358" s="98" t="s">
        <v>236</v>
      </c>
      <c r="C358" s="98" t="s">
        <v>237</v>
      </c>
      <c r="D358" s="99">
        <v>1425062</v>
      </c>
      <c r="E358" s="99">
        <v>2</v>
      </c>
      <c r="F358" s="99"/>
      <c r="G358" s="99">
        <v>14</v>
      </c>
      <c r="H358" s="99">
        <v>3</v>
      </c>
      <c r="I358" s="99" t="s">
        <v>243</v>
      </c>
      <c r="J358" s="99" t="s">
        <v>118</v>
      </c>
      <c r="K358" s="99" t="b">
        <v>1</v>
      </c>
      <c r="L358" s="95">
        <v>2022</v>
      </c>
      <c r="M358" s="96">
        <v>3921630</v>
      </c>
      <c r="N358" s="100">
        <v>41152</v>
      </c>
      <c r="O358" s="100">
        <v>41152</v>
      </c>
    </row>
    <row r="359" spans="1:15" ht="14.25">
      <c r="A359" s="97">
        <v>2012</v>
      </c>
      <c r="B359" s="98" t="s">
        <v>236</v>
      </c>
      <c r="C359" s="98" t="s">
        <v>237</v>
      </c>
      <c r="D359" s="99">
        <v>1425062</v>
      </c>
      <c r="E359" s="99">
        <v>2</v>
      </c>
      <c r="F359" s="99"/>
      <c r="G359" s="99">
        <v>50</v>
      </c>
      <c r="H359" s="99">
        <v>23</v>
      </c>
      <c r="I359" s="99" t="s">
        <v>255</v>
      </c>
      <c r="J359" s="99" t="s">
        <v>151</v>
      </c>
      <c r="K359" s="99" t="b">
        <v>1</v>
      </c>
      <c r="L359" s="95">
        <v>2016</v>
      </c>
      <c r="M359" s="96">
        <v>31983475</v>
      </c>
      <c r="N359" s="100">
        <v>41152</v>
      </c>
      <c r="O359" s="100">
        <v>41152</v>
      </c>
    </row>
    <row r="360" spans="1:15" ht="14.25">
      <c r="A360" s="97">
        <v>2012</v>
      </c>
      <c r="B360" s="98" t="s">
        <v>236</v>
      </c>
      <c r="C360" s="98" t="s">
        <v>237</v>
      </c>
      <c r="D360" s="99">
        <v>1425062</v>
      </c>
      <c r="E360" s="99">
        <v>2</v>
      </c>
      <c r="F360" s="99"/>
      <c r="G360" s="99">
        <v>57</v>
      </c>
      <c r="H360" s="99">
        <v>30</v>
      </c>
      <c r="I360" s="99" t="s">
        <v>240</v>
      </c>
      <c r="J360" s="99" t="s">
        <v>155</v>
      </c>
      <c r="K360" s="99" t="b">
        <v>0</v>
      </c>
      <c r="L360" s="95">
        <v>2018</v>
      </c>
      <c r="M360" s="96">
        <v>1950000</v>
      </c>
      <c r="N360" s="100">
        <v>41152</v>
      </c>
      <c r="O360" s="100">
        <v>41152</v>
      </c>
    </row>
    <row r="361" spans="1:15" ht="14.25">
      <c r="A361" s="97">
        <v>2012</v>
      </c>
      <c r="B361" s="98" t="s">
        <v>236</v>
      </c>
      <c r="C361" s="98" t="s">
        <v>237</v>
      </c>
      <c r="D361" s="99">
        <v>1425062</v>
      </c>
      <c r="E361" s="99">
        <v>2</v>
      </c>
      <c r="F361" s="99"/>
      <c r="G361" s="99">
        <v>1</v>
      </c>
      <c r="H361" s="99">
        <v>1</v>
      </c>
      <c r="I361" s="99" t="s">
        <v>252</v>
      </c>
      <c r="J361" s="99" t="s">
        <v>95</v>
      </c>
      <c r="K361" s="99" t="b">
        <v>1</v>
      </c>
      <c r="L361" s="95">
        <v>2014</v>
      </c>
      <c r="M361" s="96">
        <v>31794363</v>
      </c>
      <c r="N361" s="100">
        <v>41152</v>
      </c>
      <c r="O361" s="100">
        <v>41152</v>
      </c>
    </row>
    <row r="362" spans="1:15" ht="14.25">
      <c r="A362" s="97">
        <v>2012</v>
      </c>
      <c r="B362" s="98" t="s">
        <v>236</v>
      </c>
      <c r="C362" s="98" t="s">
        <v>237</v>
      </c>
      <c r="D362" s="99">
        <v>1425062</v>
      </c>
      <c r="E362" s="99">
        <v>2</v>
      </c>
      <c r="F362" s="99"/>
      <c r="G362" s="99">
        <v>27</v>
      </c>
      <c r="H362" s="99">
        <v>10</v>
      </c>
      <c r="I362" s="99"/>
      <c r="J362" s="99" t="s">
        <v>18</v>
      </c>
      <c r="K362" s="99" t="b">
        <v>0</v>
      </c>
      <c r="L362" s="95">
        <v>2016</v>
      </c>
      <c r="M362" s="96">
        <v>3372147</v>
      </c>
      <c r="N362" s="100">
        <v>41152</v>
      </c>
      <c r="O362" s="100">
        <v>41152</v>
      </c>
    </row>
    <row r="363" spans="1:15" ht="14.25">
      <c r="A363" s="97">
        <v>2012</v>
      </c>
      <c r="B363" s="98" t="s">
        <v>236</v>
      </c>
      <c r="C363" s="98" t="s">
        <v>237</v>
      </c>
      <c r="D363" s="99">
        <v>1425062</v>
      </c>
      <c r="E363" s="99">
        <v>2</v>
      </c>
      <c r="F363" s="99"/>
      <c r="G363" s="99">
        <v>2</v>
      </c>
      <c r="H363" s="99" t="s">
        <v>96</v>
      </c>
      <c r="I363" s="99"/>
      <c r="J363" s="99" t="s">
        <v>97</v>
      </c>
      <c r="K363" s="99" t="b">
        <v>1</v>
      </c>
      <c r="L363" s="95">
        <v>2017</v>
      </c>
      <c r="M363" s="96">
        <v>32991479</v>
      </c>
      <c r="N363" s="100">
        <v>41152</v>
      </c>
      <c r="O363" s="100">
        <v>41152</v>
      </c>
    </row>
    <row r="364" spans="1:15" ht="14.25">
      <c r="A364" s="97">
        <v>2012</v>
      </c>
      <c r="B364" s="98" t="s">
        <v>236</v>
      </c>
      <c r="C364" s="98" t="s">
        <v>237</v>
      </c>
      <c r="D364" s="99">
        <v>1425062</v>
      </c>
      <c r="E364" s="99">
        <v>2</v>
      </c>
      <c r="F364" s="99"/>
      <c r="G364" s="99">
        <v>42</v>
      </c>
      <c r="H364" s="99">
        <v>19</v>
      </c>
      <c r="I364" s="99" t="s">
        <v>247</v>
      </c>
      <c r="J364" s="99" t="s">
        <v>74</v>
      </c>
      <c r="K364" s="99" t="b">
        <v>1</v>
      </c>
      <c r="L364" s="95">
        <v>2017</v>
      </c>
      <c r="M364" s="96">
        <v>0.062</v>
      </c>
      <c r="N364" s="100">
        <v>41152</v>
      </c>
      <c r="O364" s="100">
        <v>41152</v>
      </c>
    </row>
    <row r="365" spans="1:15" ht="14.25">
      <c r="A365" s="97">
        <v>2012</v>
      </c>
      <c r="B365" s="98" t="s">
        <v>236</v>
      </c>
      <c r="C365" s="98" t="s">
        <v>237</v>
      </c>
      <c r="D365" s="99">
        <v>1425062</v>
      </c>
      <c r="E365" s="99">
        <v>2</v>
      </c>
      <c r="F365" s="99"/>
      <c r="G365" s="99">
        <v>51</v>
      </c>
      <c r="H365" s="99">
        <v>24</v>
      </c>
      <c r="I365" s="99" t="s">
        <v>246</v>
      </c>
      <c r="J365" s="99" t="s">
        <v>152</v>
      </c>
      <c r="K365" s="99" t="b">
        <v>1</v>
      </c>
      <c r="L365" s="95">
        <v>2012</v>
      </c>
      <c r="M365" s="96">
        <v>26966574.89</v>
      </c>
      <c r="N365" s="100">
        <v>41152</v>
      </c>
      <c r="O365" s="100">
        <v>41152</v>
      </c>
    </row>
    <row r="366" spans="1:15" ht="14.25">
      <c r="A366" s="97">
        <v>2012</v>
      </c>
      <c r="B366" s="98" t="s">
        <v>236</v>
      </c>
      <c r="C366" s="98" t="s">
        <v>237</v>
      </c>
      <c r="D366" s="99">
        <v>1425062</v>
      </c>
      <c r="E366" s="99">
        <v>2</v>
      </c>
      <c r="F366" s="99"/>
      <c r="G366" s="99">
        <v>26</v>
      </c>
      <c r="H366" s="99">
        <v>9</v>
      </c>
      <c r="I366" s="99" t="s">
        <v>260</v>
      </c>
      <c r="J366" s="99" t="s">
        <v>133</v>
      </c>
      <c r="K366" s="99" t="b">
        <v>0</v>
      </c>
      <c r="L366" s="95">
        <v>2015</v>
      </c>
      <c r="M366" s="96">
        <v>2082366</v>
      </c>
      <c r="N366" s="100">
        <v>41152</v>
      </c>
      <c r="O366" s="100">
        <v>41152</v>
      </c>
    </row>
    <row r="367" spans="1:15" ht="14.25">
      <c r="A367" s="97">
        <v>2012</v>
      </c>
      <c r="B367" s="98" t="s">
        <v>236</v>
      </c>
      <c r="C367" s="98" t="s">
        <v>237</v>
      </c>
      <c r="D367" s="99">
        <v>1425062</v>
      </c>
      <c r="E367" s="99">
        <v>2</v>
      </c>
      <c r="F367" s="99"/>
      <c r="G367" s="99">
        <v>49</v>
      </c>
      <c r="H367" s="99" t="s">
        <v>150</v>
      </c>
      <c r="I367" s="99" t="s">
        <v>248</v>
      </c>
      <c r="J367" s="99" t="s">
        <v>81</v>
      </c>
      <c r="K367" s="99" t="b">
        <v>0</v>
      </c>
      <c r="L367" s="95">
        <v>2013</v>
      </c>
      <c r="M367" s="96">
        <v>-840</v>
      </c>
      <c r="N367" s="100">
        <v>41152</v>
      </c>
      <c r="O367" s="100">
        <v>41152</v>
      </c>
    </row>
    <row r="368" spans="1:15" ht="14.25">
      <c r="A368" s="97">
        <v>2012</v>
      </c>
      <c r="B368" s="98" t="s">
        <v>236</v>
      </c>
      <c r="C368" s="98" t="s">
        <v>237</v>
      </c>
      <c r="D368" s="99">
        <v>1425062</v>
      </c>
      <c r="E368" s="99">
        <v>2</v>
      </c>
      <c r="F368" s="99"/>
      <c r="G368" s="99">
        <v>43</v>
      </c>
      <c r="H368" s="99" t="s">
        <v>146</v>
      </c>
      <c r="I368" s="99" t="s">
        <v>253</v>
      </c>
      <c r="J368" s="99" t="s">
        <v>76</v>
      </c>
      <c r="K368" s="99" t="b">
        <v>0</v>
      </c>
      <c r="L368" s="95">
        <v>2022</v>
      </c>
      <c r="M368" s="96">
        <v>0.0476</v>
      </c>
      <c r="N368" s="100">
        <v>41152</v>
      </c>
      <c r="O368" s="100">
        <v>41152</v>
      </c>
    </row>
    <row r="369" spans="1:15" ht="14.25">
      <c r="A369" s="97">
        <v>2012</v>
      </c>
      <c r="B369" s="98" t="s">
        <v>236</v>
      </c>
      <c r="C369" s="98" t="s">
        <v>237</v>
      </c>
      <c r="D369" s="99">
        <v>1425062</v>
      </c>
      <c r="E369" s="99">
        <v>2</v>
      </c>
      <c r="F369" s="99"/>
      <c r="G369" s="99">
        <v>40</v>
      </c>
      <c r="H369" s="99">
        <v>18</v>
      </c>
      <c r="I369" s="99" t="s">
        <v>258</v>
      </c>
      <c r="J369" s="99" t="s">
        <v>71</v>
      </c>
      <c r="K369" s="99" t="b">
        <v>0</v>
      </c>
      <c r="L369" s="95">
        <v>2017</v>
      </c>
      <c r="M369" s="96">
        <v>0.2777</v>
      </c>
      <c r="N369" s="100">
        <v>41152</v>
      </c>
      <c r="O369" s="100">
        <v>41152</v>
      </c>
    </row>
    <row r="370" spans="1:15" ht="14.25">
      <c r="A370" s="97">
        <v>2012</v>
      </c>
      <c r="B370" s="98" t="s">
        <v>236</v>
      </c>
      <c r="C370" s="98" t="s">
        <v>237</v>
      </c>
      <c r="D370" s="99">
        <v>1425062</v>
      </c>
      <c r="E370" s="99">
        <v>2</v>
      </c>
      <c r="F370" s="99"/>
      <c r="G370" s="99">
        <v>45</v>
      </c>
      <c r="H370" s="99" t="s">
        <v>148</v>
      </c>
      <c r="I370" s="99" t="s">
        <v>238</v>
      </c>
      <c r="J370" s="99" t="s">
        <v>53</v>
      </c>
      <c r="K370" s="99" t="b">
        <v>0</v>
      </c>
      <c r="L370" s="95">
        <v>2017</v>
      </c>
      <c r="M370" s="96">
        <v>0.0621</v>
      </c>
      <c r="N370" s="100">
        <v>41152</v>
      </c>
      <c r="O370" s="100">
        <v>41152</v>
      </c>
    </row>
    <row r="371" spans="1:15" ht="14.25">
      <c r="A371" s="97">
        <v>2012</v>
      </c>
      <c r="B371" s="98" t="s">
        <v>236</v>
      </c>
      <c r="C371" s="98" t="s">
        <v>237</v>
      </c>
      <c r="D371" s="99">
        <v>1425062</v>
      </c>
      <c r="E371" s="99">
        <v>2</v>
      </c>
      <c r="F371" s="99"/>
      <c r="G371" s="99">
        <v>26</v>
      </c>
      <c r="H371" s="99">
        <v>9</v>
      </c>
      <c r="I371" s="99" t="s">
        <v>260</v>
      </c>
      <c r="J371" s="99" t="s">
        <v>133</v>
      </c>
      <c r="K371" s="99" t="b">
        <v>0</v>
      </c>
      <c r="L371" s="95">
        <v>2022</v>
      </c>
      <c r="M371" s="96">
        <v>2107995</v>
      </c>
      <c r="N371" s="100">
        <v>41152</v>
      </c>
      <c r="O371" s="100">
        <v>41152</v>
      </c>
    </row>
    <row r="372" spans="1:15" ht="14.25">
      <c r="A372" s="97">
        <v>2012</v>
      </c>
      <c r="B372" s="98" t="s">
        <v>236</v>
      </c>
      <c r="C372" s="98" t="s">
        <v>237</v>
      </c>
      <c r="D372" s="99">
        <v>1425062</v>
      </c>
      <c r="E372" s="99">
        <v>2</v>
      </c>
      <c r="F372" s="99"/>
      <c r="G372" s="99">
        <v>52</v>
      </c>
      <c r="H372" s="99">
        <v>25</v>
      </c>
      <c r="I372" s="99" t="s">
        <v>254</v>
      </c>
      <c r="J372" s="99" t="s">
        <v>49</v>
      </c>
      <c r="K372" s="99" t="b">
        <v>1</v>
      </c>
      <c r="L372" s="95">
        <v>2019</v>
      </c>
      <c r="M372" s="96">
        <v>3292279</v>
      </c>
      <c r="N372" s="100">
        <v>41152</v>
      </c>
      <c r="O372" s="100">
        <v>41152</v>
      </c>
    </row>
    <row r="373" spans="1:15" ht="14.25">
      <c r="A373" s="97">
        <v>2012</v>
      </c>
      <c r="B373" s="98" t="s">
        <v>236</v>
      </c>
      <c r="C373" s="98" t="s">
        <v>237</v>
      </c>
      <c r="D373" s="99">
        <v>1425062</v>
      </c>
      <c r="E373" s="99">
        <v>2</v>
      </c>
      <c r="F373" s="99"/>
      <c r="G373" s="99">
        <v>43</v>
      </c>
      <c r="H373" s="99" t="s">
        <v>146</v>
      </c>
      <c r="I373" s="99" t="s">
        <v>253</v>
      </c>
      <c r="J373" s="99" t="s">
        <v>76</v>
      </c>
      <c r="K373" s="99" t="b">
        <v>0</v>
      </c>
      <c r="L373" s="95">
        <v>2021</v>
      </c>
      <c r="M373" s="96">
        <v>0.0728</v>
      </c>
      <c r="N373" s="100">
        <v>41152</v>
      </c>
      <c r="O373" s="100">
        <v>41152</v>
      </c>
    </row>
    <row r="374" spans="1:15" ht="14.25">
      <c r="A374" s="97">
        <v>2012</v>
      </c>
      <c r="B374" s="98" t="s">
        <v>236</v>
      </c>
      <c r="C374" s="98" t="s">
        <v>237</v>
      </c>
      <c r="D374" s="99">
        <v>1425062</v>
      </c>
      <c r="E374" s="99">
        <v>2</v>
      </c>
      <c r="F374" s="99"/>
      <c r="G374" s="99">
        <v>55</v>
      </c>
      <c r="H374" s="99">
        <v>28</v>
      </c>
      <c r="I374" s="99" t="s">
        <v>257</v>
      </c>
      <c r="J374" s="99" t="s">
        <v>48</v>
      </c>
      <c r="K374" s="99" t="b">
        <v>0</v>
      </c>
      <c r="L374" s="95">
        <v>2016</v>
      </c>
      <c r="M374" s="96">
        <v>438297</v>
      </c>
      <c r="N374" s="100">
        <v>41152</v>
      </c>
      <c r="O374" s="100">
        <v>41152</v>
      </c>
    </row>
    <row r="375" spans="1:15" ht="14.25">
      <c r="A375" s="97">
        <v>2012</v>
      </c>
      <c r="B375" s="98" t="s">
        <v>236</v>
      </c>
      <c r="C375" s="98" t="s">
        <v>237</v>
      </c>
      <c r="D375" s="99">
        <v>1425062</v>
      </c>
      <c r="E375" s="99">
        <v>2</v>
      </c>
      <c r="F375" s="99"/>
      <c r="G375" s="99">
        <v>33</v>
      </c>
      <c r="H375" s="99">
        <v>13</v>
      </c>
      <c r="I375" s="99"/>
      <c r="J375" s="99" t="s">
        <v>68</v>
      </c>
      <c r="K375" s="99" t="b">
        <v>1</v>
      </c>
      <c r="L375" s="95">
        <v>2018</v>
      </c>
      <c r="M375" s="96">
        <v>7210211</v>
      </c>
      <c r="N375" s="100">
        <v>41152</v>
      </c>
      <c r="O375" s="100">
        <v>41152</v>
      </c>
    </row>
    <row r="376" spans="1:15" ht="14.25">
      <c r="A376" s="97">
        <v>2012</v>
      </c>
      <c r="B376" s="98" t="s">
        <v>236</v>
      </c>
      <c r="C376" s="98" t="s">
        <v>237</v>
      </c>
      <c r="D376" s="99">
        <v>1425062</v>
      </c>
      <c r="E376" s="99">
        <v>2</v>
      </c>
      <c r="F376" s="99"/>
      <c r="G376" s="99">
        <v>51</v>
      </c>
      <c r="H376" s="99">
        <v>24</v>
      </c>
      <c r="I376" s="99" t="s">
        <v>246</v>
      </c>
      <c r="J376" s="99" t="s">
        <v>152</v>
      </c>
      <c r="K376" s="99" t="b">
        <v>1</v>
      </c>
      <c r="L376" s="95">
        <v>2017</v>
      </c>
      <c r="M376" s="96">
        <v>30366241</v>
      </c>
      <c r="N376" s="100">
        <v>41152</v>
      </c>
      <c r="O376" s="100">
        <v>41152</v>
      </c>
    </row>
    <row r="377" spans="1:15" ht="14.25">
      <c r="A377" s="97">
        <v>2012</v>
      </c>
      <c r="B377" s="98" t="s">
        <v>236</v>
      </c>
      <c r="C377" s="98" t="s">
        <v>237</v>
      </c>
      <c r="D377" s="99">
        <v>1425062</v>
      </c>
      <c r="E377" s="99">
        <v>2</v>
      </c>
      <c r="F377" s="99"/>
      <c r="G377" s="99">
        <v>26</v>
      </c>
      <c r="H377" s="99">
        <v>9</v>
      </c>
      <c r="I377" s="99" t="s">
        <v>260</v>
      </c>
      <c r="J377" s="99" t="s">
        <v>133</v>
      </c>
      <c r="K377" s="99" t="b">
        <v>0</v>
      </c>
      <c r="L377" s="95">
        <v>2017</v>
      </c>
      <c r="M377" s="96">
        <v>931238</v>
      </c>
      <c r="N377" s="100">
        <v>41152</v>
      </c>
      <c r="O377" s="100">
        <v>41152</v>
      </c>
    </row>
    <row r="378" spans="1:15" ht="14.25">
      <c r="A378" s="97">
        <v>2012</v>
      </c>
      <c r="B378" s="98" t="s">
        <v>236</v>
      </c>
      <c r="C378" s="98" t="s">
        <v>237</v>
      </c>
      <c r="D378" s="99">
        <v>1425062</v>
      </c>
      <c r="E378" s="99">
        <v>2</v>
      </c>
      <c r="F378" s="99"/>
      <c r="G378" s="99">
        <v>42</v>
      </c>
      <c r="H378" s="99">
        <v>19</v>
      </c>
      <c r="I378" s="99" t="s">
        <v>247</v>
      </c>
      <c r="J378" s="99" t="s">
        <v>74</v>
      </c>
      <c r="K378" s="99" t="b">
        <v>1</v>
      </c>
      <c r="L378" s="95">
        <v>2019</v>
      </c>
      <c r="M378" s="96">
        <v>0.0734</v>
      </c>
      <c r="N378" s="100">
        <v>41152</v>
      </c>
      <c r="O378" s="100">
        <v>41152</v>
      </c>
    </row>
    <row r="379" spans="1:15" ht="14.25">
      <c r="A379" s="97">
        <v>2012</v>
      </c>
      <c r="B379" s="98" t="s">
        <v>236</v>
      </c>
      <c r="C379" s="98" t="s">
        <v>237</v>
      </c>
      <c r="D379" s="99">
        <v>1425062</v>
      </c>
      <c r="E379" s="99">
        <v>2</v>
      </c>
      <c r="F379" s="99"/>
      <c r="G379" s="99">
        <v>14</v>
      </c>
      <c r="H379" s="99">
        <v>3</v>
      </c>
      <c r="I379" s="99" t="s">
        <v>243</v>
      </c>
      <c r="J379" s="99" t="s">
        <v>118</v>
      </c>
      <c r="K379" s="99" t="b">
        <v>1</v>
      </c>
      <c r="L379" s="95">
        <v>2014</v>
      </c>
      <c r="M379" s="96">
        <v>4052626</v>
      </c>
      <c r="N379" s="100">
        <v>41152</v>
      </c>
      <c r="O379" s="100">
        <v>41152</v>
      </c>
    </row>
    <row r="380" spans="1:15" ht="14.25">
      <c r="A380" s="97">
        <v>2012</v>
      </c>
      <c r="B380" s="98" t="s">
        <v>236</v>
      </c>
      <c r="C380" s="98" t="s">
        <v>237</v>
      </c>
      <c r="D380" s="99">
        <v>1425062</v>
      </c>
      <c r="E380" s="99">
        <v>2</v>
      </c>
      <c r="F380" s="99"/>
      <c r="G380" s="99">
        <v>49</v>
      </c>
      <c r="H380" s="99" t="s">
        <v>150</v>
      </c>
      <c r="I380" s="99" t="s">
        <v>248</v>
      </c>
      <c r="J380" s="99" t="s">
        <v>81</v>
      </c>
      <c r="K380" s="99" t="b">
        <v>0</v>
      </c>
      <c r="L380" s="95">
        <v>2012</v>
      </c>
      <c r="M380" s="96">
        <v>-245</v>
      </c>
      <c r="N380" s="100">
        <v>41152</v>
      </c>
      <c r="O380" s="100">
        <v>41152</v>
      </c>
    </row>
    <row r="381" spans="1:15" ht="14.25">
      <c r="A381" s="97">
        <v>2012</v>
      </c>
      <c r="B381" s="98" t="s">
        <v>236</v>
      </c>
      <c r="C381" s="98" t="s">
        <v>237</v>
      </c>
      <c r="D381" s="99">
        <v>1425062</v>
      </c>
      <c r="E381" s="99">
        <v>2</v>
      </c>
      <c r="F381" s="99"/>
      <c r="G381" s="99">
        <v>26</v>
      </c>
      <c r="H381" s="99">
        <v>9</v>
      </c>
      <c r="I381" s="99" t="s">
        <v>260</v>
      </c>
      <c r="J381" s="99" t="s">
        <v>133</v>
      </c>
      <c r="K381" s="99" t="b">
        <v>0</v>
      </c>
      <c r="L381" s="95">
        <v>2018</v>
      </c>
      <c r="M381" s="96">
        <v>706476</v>
      </c>
      <c r="N381" s="100">
        <v>41152</v>
      </c>
      <c r="O381" s="100">
        <v>41152</v>
      </c>
    </row>
    <row r="382" spans="1:15" ht="14.25">
      <c r="A382" s="97">
        <v>2012</v>
      </c>
      <c r="B382" s="98" t="s">
        <v>236</v>
      </c>
      <c r="C382" s="98" t="s">
        <v>237</v>
      </c>
      <c r="D382" s="99">
        <v>1425062</v>
      </c>
      <c r="E382" s="99">
        <v>2</v>
      </c>
      <c r="F382" s="99"/>
      <c r="G382" s="99">
        <v>6</v>
      </c>
      <c r="H382" s="99" t="s">
        <v>104</v>
      </c>
      <c r="I382" s="99"/>
      <c r="J382" s="99" t="s">
        <v>105</v>
      </c>
      <c r="K382" s="99" t="b">
        <v>1</v>
      </c>
      <c r="L382" s="95">
        <v>2012</v>
      </c>
      <c r="M382" s="96">
        <v>1772800</v>
      </c>
      <c r="N382" s="100">
        <v>41152</v>
      </c>
      <c r="O382" s="100">
        <v>41152</v>
      </c>
    </row>
    <row r="383" spans="1:15" ht="14.25">
      <c r="A383" s="97">
        <v>2012</v>
      </c>
      <c r="B383" s="98" t="s">
        <v>236</v>
      </c>
      <c r="C383" s="98" t="s">
        <v>237</v>
      </c>
      <c r="D383" s="99">
        <v>1425062</v>
      </c>
      <c r="E383" s="99">
        <v>2</v>
      </c>
      <c r="F383" s="99"/>
      <c r="G383" s="99">
        <v>37</v>
      </c>
      <c r="H383" s="99">
        <v>16</v>
      </c>
      <c r="I383" s="99"/>
      <c r="J383" s="99" t="s">
        <v>142</v>
      </c>
      <c r="K383" s="99" t="b">
        <v>1</v>
      </c>
      <c r="L383" s="95">
        <v>2019</v>
      </c>
      <c r="M383" s="96">
        <v>2450000</v>
      </c>
      <c r="N383" s="100">
        <v>41152</v>
      </c>
      <c r="O383" s="100">
        <v>41152</v>
      </c>
    </row>
    <row r="384" spans="1:15" ht="14.25">
      <c r="A384" s="97">
        <v>2012</v>
      </c>
      <c r="B384" s="98" t="s">
        <v>236</v>
      </c>
      <c r="C384" s="98" t="s">
        <v>237</v>
      </c>
      <c r="D384" s="99">
        <v>1425062</v>
      </c>
      <c r="E384" s="99">
        <v>2</v>
      </c>
      <c r="F384" s="99"/>
      <c r="G384" s="99">
        <v>14</v>
      </c>
      <c r="H384" s="99">
        <v>3</v>
      </c>
      <c r="I384" s="99" t="s">
        <v>243</v>
      </c>
      <c r="J384" s="99" t="s">
        <v>118</v>
      </c>
      <c r="K384" s="99" t="b">
        <v>1</v>
      </c>
      <c r="L384" s="95">
        <v>2018</v>
      </c>
      <c r="M384" s="96">
        <v>2906476</v>
      </c>
      <c r="N384" s="100">
        <v>41152</v>
      </c>
      <c r="O384" s="100">
        <v>41152</v>
      </c>
    </row>
    <row r="385" spans="1:15" ht="14.25">
      <c r="A385" s="97">
        <v>2012</v>
      </c>
      <c r="B385" s="98" t="s">
        <v>236</v>
      </c>
      <c r="C385" s="98" t="s">
        <v>237</v>
      </c>
      <c r="D385" s="99">
        <v>1425062</v>
      </c>
      <c r="E385" s="99">
        <v>2</v>
      </c>
      <c r="F385" s="99"/>
      <c r="G385" s="99">
        <v>19</v>
      </c>
      <c r="H385" s="99">
        <v>6</v>
      </c>
      <c r="I385" s="99" t="s">
        <v>251</v>
      </c>
      <c r="J385" s="99" t="s">
        <v>123</v>
      </c>
      <c r="K385" s="99" t="b">
        <v>0</v>
      </c>
      <c r="L385" s="95">
        <v>2019</v>
      </c>
      <c r="M385" s="96">
        <v>3412279</v>
      </c>
      <c r="N385" s="100">
        <v>41152</v>
      </c>
      <c r="O385" s="100">
        <v>41152</v>
      </c>
    </row>
    <row r="386" spans="1:15" ht="14.25">
      <c r="A386" s="97">
        <v>2012</v>
      </c>
      <c r="B386" s="98" t="s">
        <v>236</v>
      </c>
      <c r="C386" s="98" t="s">
        <v>237</v>
      </c>
      <c r="D386" s="99">
        <v>1425062</v>
      </c>
      <c r="E386" s="99">
        <v>2</v>
      </c>
      <c r="F386" s="99"/>
      <c r="G386" s="99">
        <v>7</v>
      </c>
      <c r="H386" s="99">
        <v>2</v>
      </c>
      <c r="I386" s="99"/>
      <c r="J386" s="99" t="s">
        <v>3</v>
      </c>
      <c r="K386" s="99" t="b">
        <v>1</v>
      </c>
      <c r="L386" s="95">
        <v>2018</v>
      </c>
      <c r="M386" s="96">
        <v>30971747</v>
      </c>
      <c r="N386" s="100">
        <v>41152</v>
      </c>
      <c r="O386" s="100">
        <v>41152</v>
      </c>
    </row>
    <row r="387" spans="1:15" ht="14.25">
      <c r="A387" s="97">
        <v>2012</v>
      </c>
      <c r="B387" s="98" t="s">
        <v>236</v>
      </c>
      <c r="C387" s="98" t="s">
        <v>237</v>
      </c>
      <c r="D387" s="99">
        <v>1425062</v>
      </c>
      <c r="E387" s="99">
        <v>2</v>
      </c>
      <c r="F387" s="99"/>
      <c r="G387" s="99">
        <v>43</v>
      </c>
      <c r="H387" s="99" t="s">
        <v>146</v>
      </c>
      <c r="I387" s="99" t="s">
        <v>253</v>
      </c>
      <c r="J387" s="99" t="s">
        <v>76</v>
      </c>
      <c r="K387" s="99" t="b">
        <v>0</v>
      </c>
      <c r="L387" s="95">
        <v>2012</v>
      </c>
      <c r="M387" s="96">
        <v>0.1176</v>
      </c>
      <c r="N387" s="100">
        <v>41152</v>
      </c>
      <c r="O387" s="100">
        <v>41152</v>
      </c>
    </row>
    <row r="388" spans="1:15" ht="14.25">
      <c r="A388" s="97">
        <v>2012</v>
      </c>
      <c r="B388" s="98" t="s">
        <v>236</v>
      </c>
      <c r="C388" s="98" t="s">
        <v>237</v>
      </c>
      <c r="D388" s="99">
        <v>1425062</v>
      </c>
      <c r="E388" s="99">
        <v>2</v>
      </c>
      <c r="F388" s="99"/>
      <c r="G388" s="99">
        <v>55</v>
      </c>
      <c r="H388" s="99">
        <v>28</v>
      </c>
      <c r="I388" s="99" t="s">
        <v>257</v>
      </c>
      <c r="J388" s="99" t="s">
        <v>48</v>
      </c>
      <c r="K388" s="99" t="b">
        <v>0</v>
      </c>
      <c r="L388" s="95">
        <v>2013</v>
      </c>
      <c r="M388" s="96">
        <v>630600</v>
      </c>
      <c r="N388" s="100">
        <v>41152</v>
      </c>
      <c r="O388" s="100">
        <v>41152</v>
      </c>
    </row>
    <row r="389" spans="1:15" ht="14.25">
      <c r="A389" s="97">
        <v>2012</v>
      </c>
      <c r="B389" s="98" t="s">
        <v>236</v>
      </c>
      <c r="C389" s="98" t="s">
        <v>237</v>
      </c>
      <c r="D389" s="99">
        <v>1425062</v>
      </c>
      <c r="E389" s="99">
        <v>2</v>
      </c>
      <c r="F389" s="99"/>
      <c r="G389" s="99">
        <v>44</v>
      </c>
      <c r="H389" s="99">
        <v>20</v>
      </c>
      <c r="I389" s="99" t="s">
        <v>245</v>
      </c>
      <c r="J389" s="99" t="s">
        <v>147</v>
      </c>
      <c r="K389" s="99" t="b">
        <v>1</v>
      </c>
      <c r="L389" s="95">
        <v>2021</v>
      </c>
      <c r="M389" s="96">
        <v>0.0935</v>
      </c>
      <c r="N389" s="100">
        <v>41152</v>
      </c>
      <c r="O389" s="100">
        <v>41152</v>
      </c>
    </row>
    <row r="390" spans="1:15" ht="14.25">
      <c r="A390" s="97">
        <v>2012</v>
      </c>
      <c r="B390" s="98" t="s">
        <v>236</v>
      </c>
      <c r="C390" s="98" t="s">
        <v>237</v>
      </c>
      <c r="D390" s="99">
        <v>1425062</v>
      </c>
      <c r="E390" s="99">
        <v>2</v>
      </c>
      <c r="F390" s="99"/>
      <c r="G390" s="99">
        <v>14</v>
      </c>
      <c r="H390" s="99">
        <v>3</v>
      </c>
      <c r="I390" s="99" t="s">
        <v>243</v>
      </c>
      <c r="J390" s="99" t="s">
        <v>118</v>
      </c>
      <c r="K390" s="99" t="b">
        <v>1</v>
      </c>
      <c r="L390" s="95">
        <v>2021</v>
      </c>
      <c r="M390" s="96">
        <v>3592847</v>
      </c>
      <c r="N390" s="100">
        <v>41152</v>
      </c>
      <c r="O390" s="100">
        <v>41152</v>
      </c>
    </row>
    <row r="391" spans="1:15" ht="14.25">
      <c r="A391" s="97">
        <v>2012</v>
      </c>
      <c r="B391" s="98" t="s">
        <v>236</v>
      </c>
      <c r="C391" s="98" t="s">
        <v>237</v>
      </c>
      <c r="D391" s="99">
        <v>1425062</v>
      </c>
      <c r="E391" s="99">
        <v>2</v>
      </c>
      <c r="F391" s="99"/>
      <c r="G391" s="99">
        <v>24</v>
      </c>
      <c r="H391" s="99" t="s">
        <v>130</v>
      </c>
      <c r="I391" s="99"/>
      <c r="J391" s="99" t="s">
        <v>131</v>
      </c>
      <c r="K391" s="99" t="b">
        <v>1</v>
      </c>
      <c r="L391" s="95">
        <v>2016</v>
      </c>
      <c r="M391" s="96">
        <v>490000</v>
      </c>
      <c r="N391" s="100">
        <v>41152</v>
      </c>
      <c r="O391" s="100">
        <v>41152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Kowalski Ryszard</cp:lastModifiedBy>
  <cp:lastPrinted>2012-08-31T12:46:52Z</cp:lastPrinted>
  <dcterms:created xsi:type="dcterms:W3CDTF">2010-09-17T02:30:46Z</dcterms:created>
  <dcterms:modified xsi:type="dcterms:W3CDTF">2012-08-31T13:09:08Z</dcterms:modified>
  <cp:category/>
  <cp:version/>
  <cp:contentType/>
  <cp:contentStatus/>
</cp:coreProperties>
</file>